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embeddings/oleObject8.bin" ContentType="application/vnd.openxmlformats-officedocument.oleObject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embeddings/oleObject4.bin" ContentType="application/vnd.openxmlformats-officedocument.oleObject"/>
  <Override PartName="/xl/embeddings/oleObject10.bin" ContentType="application/vnd.openxmlformats-officedocument.oleObject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embeddings/oleObject9.bin" ContentType="application/vnd.openxmlformats-officedocument.oleObject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mbeddings/oleObject3.bin" ContentType="application/vnd.openxmlformats-officedocument.oleObject"/>
  <Override PartName="/xl/embeddings/oleObject11.bin" ContentType="application/vnd.openxmlformats-officedocument.oleObject"/>
  <Default Extension="emf" ContentType="image/x-emf"/>
  <Override PartName="/xl/pivotTables/pivotTable1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mbeddings/oleObject2.bin" ContentType="application/vnd.openxmlformats-officedocument.oleObject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embeddings/oleObject7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 defaultThemeVersion="124226"/>
  <bookViews>
    <workbookView xWindow="-75" yWindow="135" windowWidth="14895" windowHeight="7380" tabRatio="943" firstSheet="9" activeTab="10"/>
  </bookViews>
  <sheets>
    <sheet name="기본사항" sheetId="19" state="hidden" r:id="rId1"/>
    <sheet name="Material" sheetId="18" state="hidden" r:id="rId2"/>
    <sheet name="연도별환율" sheetId="17" state="hidden" r:id="rId3"/>
    <sheet name="Footnote" sheetId="15" state="hidden" r:id="rId4"/>
    <sheet name="재무제표" sheetId="14" state="hidden" r:id="rId5"/>
    <sheet name="자본변동표" sheetId="37" state="hidden" r:id="rId6"/>
    <sheet name="CF" sheetId="38" state="hidden" r:id="rId7"/>
    <sheet name="CF정산표" sheetId="75" state="hidden" r:id="rId8"/>
    <sheet name="CF 보고서" sheetId="76" state="hidden" r:id="rId9"/>
    <sheet name="PA(R)JE" sheetId="8" r:id="rId10"/>
    <sheet name="FS" sheetId="97" r:id="rId11"/>
    <sheet name="자본변동표 (2)" sheetId="98" r:id="rId12"/>
    <sheet name="명세서첨부1" sheetId="99" r:id="rId13"/>
    <sheet name="명세서첨부2" sheetId="100" r:id="rId14"/>
    <sheet name="Sheet2" sheetId="96" state="hidden" r:id="rId15"/>
    <sheet name="FS_worksheet" sheetId="12" r:id="rId16"/>
    <sheet name="세무조정" sheetId="95" state="hidden" r:id="rId17"/>
    <sheet name="BS(회사)" sheetId="11" state="hidden" r:id="rId18"/>
    <sheet name="IS(회사)" sheetId="9" state="hidden" r:id="rId19"/>
    <sheet name="CO" sheetId="78" state="hidden" r:id="rId20"/>
    <sheet name="TB" sheetId="40" state="hidden" r:id="rId21"/>
    <sheet name="분석적검토" sheetId="41" state="hidden" r:id="rId22"/>
    <sheet name="TableofContents" sheetId="42" state="hidden" r:id="rId23"/>
    <sheet name="Directions-A" sheetId="44" state="hidden" r:id="rId24"/>
    <sheet name="A" sheetId="7" state="hidden" r:id="rId25"/>
    <sheet name="Directions-B" sheetId="45" state="hidden" r:id="rId26"/>
    <sheet name="B" sheetId="6" state="hidden" r:id="rId27"/>
    <sheet name="Directions-C" sheetId="46" state="hidden" r:id="rId28"/>
    <sheet name="C" sheetId="1" state="hidden" r:id="rId29"/>
    <sheet name="Directions-D" sheetId="47" state="hidden" r:id="rId30"/>
    <sheet name="D" sheetId="2" state="hidden" r:id="rId31"/>
    <sheet name="Directions-E" sheetId="48" state="hidden" r:id="rId32"/>
    <sheet name="Directions-E100" sheetId="43" state="hidden" r:id="rId33"/>
    <sheet name="E" sheetId="3" state="hidden" r:id="rId34"/>
    <sheet name="A200" sheetId="79" state="hidden" r:id="rId35"/>
    <sheet name="Directions-F" sheetId="50" state="hidden" r:id="rId36"/>
    <sheet name="F" sheetId="4" state="hidden" r:id="rId37"/>
    <sheet name="A100" sheetId="80" state="hidden" r:id="rId38"/>
    <sheet name="Directions-G" sheetId="51" state="hidden" r:id="rId39"/>
    <sheet name="G" sheetId="5" state="hidden" r:id="rId40"/>
    <sheet name="Directions-H" sheetId="52" state="hidden" r:id="rId41"/>
    <sheet name="H" sheetId="20" state="hidden" r:id="rId42"/>
    <sheet name="G100" sheetId="82" state="hidden" r:id="rId43"/>
    <sheet name="G200" sheetId="83" state="hidden" r:id="rId44"/>
    <sheet name="G300" sheetId="84" state="hidden" r:id="rId45"/>
    <sheet name="Directions-I" sheetId="53" state="hidden" r:id="rId46"/>
    <sheet name="I" sheetId="21" state="hidden" r:id="rId47"/>
    <sheet name="Directions-AA" sheetId="54" state="hidden" r:id="rId48"/>
    <sheet name="AA" sheetId="22" state="hidden" r:id="rId49"/>
    <sheet name="Directions-BB" sheetId="55" state="hidden" r:id="rId50"/>
    <sheet name="BB" sheetId="23" state="hidden" r:id="rId51"/>
    <sheet name="Directions-CC" sheetId="56" state="hidden" r:id="rId52"/>
    <sheet name="CC" sheetId="24" state="hidden" r:id="rId53"/>
    <sheet name="Directions-EE" sheetId="57" state="hidden" r:id="rId54"/>
    <sheet name="EE" sheetId="25" state="hidden" r:id="rId55"/>
    <sheet name="Directions-FF" sheetId="58" state="hidden" r:id="rId56"/>
    <sheet name="FF" sheetId="26" state="hidden" r:id="rId57"/>
    <sheet name="TUL" sheetId="36" state="hidden" r:id="rId58"/>
    <sheet name="Directions-GG" sheetId="59" state="hidden" r:id="rId59"/>
    <sheet name="GG" sheetId="27" state="hidden" r:id="rId60"/>
    <sheet name="Directions-P" sheetId="60" state="hidden" r:id="rId61"/>
    <sheet name="P" sheetId="28" state="hidden" r:id="rId62"/>
    <sheet name="Directions-Q" sheetId="61" state="hidden" r:id="rId63"/>
    <sheet name="Q" sheetId="30" state="hidden" r:id="rId64"/>
    <sheet name="EE100" sheetId="86" state="hidden" r:id="rId65"/>
    <sheet name="EE200" sheetId="87" state="hidden" r:id="rId66"/>
    <sheet name="Directions-R" sheetId="62" state="hidden" r:id="rId67"/>
    <sheet name="R" sheetId="31" state="hidden" r:id="rId68"/>
    <sheet name="R100" sheetId="88" state="hidden" r:id="rId69"/>
    <sheet name="R200" sheetId="90" state="hidden" r:id="rId70"/>
    <sheet name="R300" sheetId="89" state="hidden" r:id="rId71"/>
    <sheet name="Directions-S" sheetId="63" state="hidden" r:id="rId72"/>
    <sheet name="S" sheetId="29" state="hidden" r:id="rId73"/>
    <sheet name="U" sheetId="32" state="hidden" r:id="rId74"/>
    <sheet name="CL" sheetId="34" state="hidden" r:id="rId75"/>
    <sheet name="DER" sheetId="35" state="hidden" r:id="rId76"/>
    <sheet name="Directions-T" sheetId="64" state="hidden" r:id="rId77"/>
    <sheet name="T" sheetId="39" state="hidden" r:id="rId78"/>
    <sheet name="T(세무조정)" sheetId="71" state="hidden" r:id="rId79"/>
    <sheet name="T201" sheetId="66" state="hidden" r:id="rId80"/>
    <sheet name="T202" sheetId="70" state="hidden" r:id="rId81"/>
    <sheet name="T203" sheetId="69" state="hidden" r:id="rId82"/>
    <sheet name="T204" sheetId="72" state="hidden" r:id="rId83"/>
    <sheet name="T205" sheetId="74" state="hidden" r:id="rId84"/>
    <sheet name="Sheet4" sheetId="94" state="hidden" r:id="rId85"/>
    <sheet name="Sheet1" sheetId="91" state="hidden" r:id="rId86"/>
    <sheet name="Sheet1 (2)" sheetId="93" state="hidden" r:id="rId87"/>
  </sheets>
  <externalReferences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_10320">[1]만기!#REF!</definedName>
    <definedName name="_5">#REF!</definedName>
    <definedName name="_7">#REF!</definedName>
    <definedName name="_Fill" localSheetId="10" hidden="1">#REF!</definedName>
    <definedName name="_Fill" localSheetId="86" hidden="1">#REF!</definedName>
    <definedName name="_Fill" hidden="1">#REF!</definedName>
    <definedName name="_Key1" localSheetId="10" hidden="1">#REF!</definedName>
    <definedName name="_Key1" localSheetId="86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localSheetId="12" hidden="1">[2]수정시산표!#REF!</definedName>
    <definedName name="_Parse_Out" hidden="1">[3]수정시산표!#REF!</definedName>
    <definedName name="_Regression_Int" hidden="1">1</definedName>
    <definedName name="_Regression_Out" localSheetId="86" hidden="1">#REF!</definedName>
    <definedName name="_Regression_Out" hidden="1">#REF!</definedName>
    <definedName name="_Regression_X" localSheetId="86" hidden="1">#REF!</definedName>
    <definedName name="_Regression_X" hidden="1">#REF!</definedName>
    <definedName name="_Regression_Y" localSheetId="86" hidden="1">#REF!</definedName>
    <definedName name="_Regression_Y" hidden="1">#REF!</definedName>
    <definedName name="_Sort" localSheetId="10" hidden="1">#REF!</definedName>
    <definedName name="_Sort" localSheetId="86" hidden="1">#REF!</definedName>
    <definedName name="_Sort" hidden="1">#REF!</definedName>
    <definedName name="A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" localSheetId="10">#REF!</definedName>
    <definedName name="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" localSheetId="86">#REF!</definedName>
    <definedName name="aa">#REF!</definedName>
    <definedName name="aaa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cess_Button" hidden="1">"X98년차량부하__양_증차품의_List"</definedName>
    <definedName name="AccessDatabase" hidden="1">"C:\WORK\납품능력평가\98년차량부하.mdb"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sad" hidden="1">#REF!</definedName>
    <definedName name="b" localSheetId="10">#REF!</definedName>
    <definedName name="B">'[4]법인세등 (2)'!$B$27</definedName>
    <definedName name="BG_Del" hidden="1">15</definedName>
    <definedName name="BG_Ins" hidden="1">4</definedName>
    <definedName name="BG_Mod" hidden="1">6</definedName>
    <definedName name="BS_저장품" localSheetId="12" hidden="1">{#N/A,#N/A,FALSE,"BS";#N/A,#N/A,FALSE,"PL";#N/A,#N/A,FALSE,"처분";#N/A,#N/A,FALSE,"현금";#N/A,#N/A,FALSE,"매출";#N/A,#N/A,FALSE,"원가";#N/A,#N/A,FALSE,"경영"}</definedName>
    <definedName name="BS_저장품" localSheetId="11" hidden="1">{#N/A,#N/A,FALSE,"BS";#N/A,#N/A,FALSE,"PL";#N/A,#N/A,FALSE,"처분";#N/A,#N/A,FALSE,"현금";#N/A,#N/A,FALSE,"매출";#N/A,#N/A,FALSE,"원가";#N/A,#N/A,FALSE,"경영"}</definedName>
    <definedName name="BS_저장품" hidden="1">{#N/A,#N/A,FALSE,"BS";#N/A,#N/A,FALSE,"PL";#N/A,#N/A,FALSE,"처분";#N/A,#N/A,FALSE,"현금";#N/A,#N/A,FALSE,"매출";#N/A,#N/A,FALSE,"원가";#N/A,#N/A,FALSE,"경영"}</definedName>
    <definedName name="cosa" localSheetId="12" hidden="1">{#N/A,#N/A,FALSE,"BS";#N/A,#N/A,FALSE,"PL";#N/A,#N/A,FALSE,"처분";#N/A,#N/A,FALSE,"현금";#N/A,#N/A,FALSE,"매출";#N/A,#N/A,FALSE,"원가";#N/A,#N/A,FALSE,"경영"}</definedName>
    <definedName name="cosa" localSheetId="11" hidden="1">{#N/A,#N/A,FALSE,"BS";#N/A,#N/A,FALSE,"PL";#N/A,#N/A,FALSE,"처분";#N/A,#N/A,FALSE,"현금";#N/A,#N/A,FALSE,"매출";#N/A,#N/A,FALSE,"원가";#N/A,#N/A,FALSE,"경영"}</definedName>
    <definedName name="cosa" hidden="1">{#N/A,#N/A,FALSE,"BS";#N/A,#N/A,FALSE,"PL";#N/A,#N/A,FALSE,"처분";#N/A,#N/A,FALSE,"현금";#N/A,#N/A,FALSE,"매출";#N/A,#N/A,FALSE,"원가";#N/A,#N/A,FALSE,"경영"}</definedName>
    <definedName name="d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xlnm.Database" localSheetId="10">#REF!</definedName>
    <definedName name="_xlnm.Database" localSheetId="86">#REF!</definedName>
    <definedName name="_xlnm.Database">#REF!</definedName>
    <definedName name="dd" localSheetId="12" hidden="1">{"PL2",#N/A,FALSE,"PL";"CH1",#N/A,FALSE,"현금흐름표";"CH2",#N/A,FALSE,"현금흐름표";"BS1",#N/A,FALSE,"BS";"CO",#N/A,FALSE,"매출원가";"BS2",#N/A,FALSE,"BS"}</definedName>
    <definedName name="dd" localSheetId="11" hidden="1">{"PL2",#N/A,FALSE,"PL";"CH1",#N/A,FALSE,"현금흐름표";"CH2",#N/A,FALSE,"현금흐름표";"BS1",#N/A,FALSE,"BS";"CO",#N/A,FALSE,"매출원가";"BS2",#N/A,FALSE,"BS"}</definedName>
    <definedName name="dd" hidden="1">{"PL2",#N/A,FALSE,"PL";"CH1",#N/A,FALSE,"현금흐름표";"CH2",#N/A,FALSE,"현금흐름표";"BS1",#N/A,FALSE,"BS";"CO",#N/A,FALSE,"매출원가";"BS2",#N/A,FALSE,"BS"}</definedName>
    <definedName name="e" localSheetId="12" hidden="1">{#N/A,#N/A,FALSE,"BS";#N/A,#N/A,FALSE,"PL";#N/A,#N/A,FALSE,"처분";#N/A,#N/A,FALSE,"현금";#N/A,#N/A,FALSE,"매출";#N/A,#N/A,FALSE,"원가";#N/A,#N/A,FALSE,"경영"}</definedName>
    <definedName name="e" localSheetId="11" hidden="1">{#N/A,#N/A,FALSE,"BS";#N/A,#N/A,FALSE,"PL";#N/A,#N/A,FALSE,"처분";#N/A,#N/A,FALSE,"현금";#N/A,#N/A,FALSE,"매출";#N/A,#N/A,FALSE,"원가";#N/A,#N/A,FALSE,"경영"}</definedName>
    <definedName name="e" hidden="1">{#N/A,#N/A,FALSE,"BS";#N/A,#N/A,FALSE,"PL";#N/A,#N/A,FALSE,"처분";#N/A,#N/A,FALSE,"현금";#N/A,#N/A,FALSE,"매출";#N/A,#N/A,FALSE,"원가";#N/A,#N/A,FALSE,"경영"}</definedName>
    <definedName name="FA증감">#REF!</definedName>
    <definedName name="FDF" localSheetId="12" hidden="1">{#N/A,#N/A,FALSE,"BS";#N/A,#N/A,FALSE,"PL";#N/A,#N/A,FALSE,"처분";#N/A,#N/A,FALSE,"현금";#N/A,#N/A,FALSE,"매출";#N/A,#N/A,FALSE,"원가";#N/A,#N/A,FALSE,"경영"}</definedName>
    <definedName name="FDF" localSheetId="11" hidden="1">{#N/A,#N/A,FALSE,"BS";#N/A,#N/A,FALSE,"PL";#N/A,#N/A,FALSE,"처분";#N/A,#N/A,FALSE,"현금";#N/A,#N/A,FALSE,"매출";#N/A,#N/A,FALSE,"원가";#N/A,#N/A,FALSE,"경영"}</definedName>
    <definedName name="FDF" hidden="1">{#N/A,#N/A,FALSE,"BS";#N/A,#N/A,FALSE,"PL";#N/A,#N/A,FALSE,"처분";#N/A,#N/A,FALSE,"현금";#N/A,#N/A,FALSE,"매출";#N/A,#N/A,FALSE,"원가";#N/A,#N/A,FALSE,"경영"}</definedName>
    <definedName name="FIRR" localSheetId="86">#REF!</definedName>
    <definedName name="FIRR">#REF!</definedName>
    <definedName name="FIRR분석" localSheetId="86">#REF!</definedName>
    <definedName name="FIRR분석">#REF!</definedName>
    <definedName name="jw.pl">#REF!</definedName>
    <definedName name="k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cro8">[5]!Macro8</definedName>
    <definedName name="myung" localSheetId="12">[6]Sheet3!$C$2:$I$232</definedName>
    <definedName name="myung">[7]Sheet3!$C$2:$I$232</definedName>
    <definedName name="pay" localSheetId="12" hidden="1">[8]comm!#REF!</definedName>
    <definedName name="pay" hidden="1">[8]comm!#REF!</definedName>
    <definedName name="payment1" localSheetId="12" hidden="1">[9]comm!#REF!</definedName>
    <definedName name="payment1" hidden="1">[9]comm!#REF!</definedName>
    <definedName name="POWER" localSheetId="12" hidden="1">{#N/A,#N/A,FALSE,"CHECK-LIST 환산표";#N/A,#N/A,FALSE,"무재해 시간";#N/A,#N/A,FALSE,"총괄표"}</definedName>
    <definedName name="POWER" localSheetId="11" hidden="1">{#N/A,#N/A,FALSE,"CHECK-LIST 환산표";#N/A,#N/A,FALSE,"무재해 시간";#N/A,#N/A,FALSE,"총괄표"}</definedName>
    <definedName name="POWER" hidden="1">{#N/A,#N/A,FALSE,"CHECK-LIST 환산표";#N/A,#N/A,FALSE,"무재해 시간";#N/A,#N/A,FALSE,"총괄표"}</definedName>
    <definedName name="PPP" localSheetId="8" hidden="1">{#N/A,#N/A,TRUE,"일정"}</definedName>
    <definedName name="PPP" hidden="1">{#N/A,#N/A,TRUE,"일정"}</definedName>
    <definedName name="_xlnm.Print_Area" localSheetId="7">CF정산표!$A$1:$E$105</definedName>
    <definedName name="_xlnm.Print_Area" localSheetId="10">#REF!</definedName>
    <definedName name="_xlnm.Print_Area" localSheetId="15">FS_worksheet!$A$1:$P$224</definedName>
    <definedName name="_xlnm.Print_Area" localSheetId="9">'PA(R)JE'!$A$1:$M$36</definedName>
    <definedName name="_xlnm.Print_Area" localSheetId="86">#REF!</definedName>
    <definedName name="_xlnm.Print_Area" localSheetId="77">T!$A$1:$I$195</definedName>
    <definedName name="_xlnm.Print_Area" localSheetId="78">'T(세무조정)'!$A$1:$I$85</definedName>
    <definedName name="_xlnm.Print_Area" localSheetId="79">'T201'!$A$1:$I$133</definedName>
    <definedName name="_xlnm.Print_Area" localSheetId="80">'T202'!$A$1:$I$198</definedName>
    <definedName name="_xlnm.Print_Area" localSheetId="81">'T203'!$A$1:$I$38</definedName>
    <definedName name="_xlnm.Print_Area" localSheetId="82">'T204'!$A$1:$I$81</definedName>
    <definedName name="_xlnm.Print_Area" localSheetId="83">'T205'!$A$1:$I$81</definedName>
    <definedName name="_xlnm.Print_Area" localSheetId="5">자본변동표!$A$1:$G$22</definedName>
    <definedName name="_xlnm.Print_Area" localSheetId="11">'자본변동표 (2)'!$A$1:$H$27</definedName>
    <definedName name="_xlnm.Print_Area">#REF!</definedName>
    <definedName name="PRINT_AREA_MI" localSheetId="10">#REF!</definedName>
    <definedName name="Print_Area_MI" localSheetId="86">#REF!</definedName>
    <definedName name="Print_Area_MI">#REF!</definedName>
    <definedName name="_xlnm.Print_Titles" localSheetId="7">CF정산표!$A$7:$IV$8</definedName>
    <definedName name="_xlnm.Print_Titles" localSheetId="15">FS_worksheet!$8:$8</definedName>
    <definedName name="_xlnm.Print_Titles" localSheetId="12">명세서첨부1!#REF!</definedName>
    <definedName name="_xlnm.Print_Titles">#REF!</definedName>
    <definedName name="PRINT_TITLES_MI">#REF!</definedName>
    <definedName name="QKR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 localSheetId="8" hidden="1">{#N/A,#N/A,TRUE,"일정"}</definedName>
    <definedName name="qqq" hidden="1">{#N/A,#N/A,TRUE,"일정"}</definedName>
    <definedName name="S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extRefCopy11" localSheetId="12">'[10]감가상각비 Overall Test'!#REF!</definedName>
    <definedName name="TextRefCopy11">'[11]감가상각비 Overall Test'!#REF!</definedName>
    <definedName name="TextRefCopy3">[12]외화예금환산!$D$6</definedName>
    <definedName name="TextRefCopy4">#REF!</definedName>
    <definedName name="TextRefCopy5">#REF!</definedName>
    <definedName name="TextRefCopy7">#REF!</definedName>
    <definedName name="TextRefCopyRangeCount" hidden="1">2</definedName>
    <definedName name="Title">#REF!</definedName>
    <definedName name="titles">#REF!</definedName>
    <definedName name="WACC" localSheetId="86">#REF!</definedName>
    <definedName name="WACC">#REF!</definedName>
    <definedName name="widebs">#REF!</definedName>
    <definedName name="WO\\\\\\재료비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2" hidden="1">{#N/A,#N/A,FALSE,"BS";#N/A,#N/A,FALSE,"PL";#N/A,#N/A,FALSE,"처분";#N/A,#N/A,FALSE,"현금";#N/A,#N/A,FALSE,"매출";#N/A,#N/A,FALSE,"원가";#N/A,#N/A,FALSE,"경영"}</definedName>
    <definedName name="wrn.COSA._.FS._.국문." localSheetId="1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DDD.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재무제표." localSheetId="12" hidden="1">{"PL2",#N/A,FALSE,"PL";"CH1",#N/A,FALSE,"현금흐름표";"CH2",#N/A,FALSE,"현금흐름표";"BS1",#N/A,FALSE,"BS";"CO",#N/A,FALSE,"매출원가";"BS2",#N/A,FALSE,"BS"}</definedName>
    <definedName name="wrn.재무제표." localSheetId="11" hidden="1">{"PL2",#N/A,FALSE,"PL";"CH1",#N/A,FALSE,"현금흐름표";"CH2",#N/A,FALSE,"현금흐름표";"BS1",#N/A,FALSE,"BS";"CO",#N/A,FALSE,"매출원가";"BS2",#N/A,FALSE,"BS"}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주간._.보고." localSheetId="8" hidden="1">{#N/A,#N/A,TRUE,"일정"}</definedName>
    <definedName name="wrn.주간._.보고." hidden="1">{#N/A,#N/A,TRUE,"일정"}</definedName>
    <definedName name="wrn.ㅏ." localSheetId="12" hidden="1">{#N/A,#N/A,FALSE,"CHECK-LIST 환산표";#N/A,#N/A,FALSE,"무재해 시간";#N/A,#N/A,FALSE,"총괄표"}</definedName>
    <definedName name="wrn.ㅏ." localSheetId="11" hidden="1">{#N/A,#N/A,FALSE,"CHECK-LIST 환산표";#N/A,#N/A,FALSE,"무재해 시간";#N/A,#N/A,FALSE,"총괄표"}</definedName>
    <definedName name="wrn.ㅏ." hidden="1">{#N/A,#N/A,FALSE,"CHECK-LIST 환산표";#N/A,#N/A,FALSE,"무재해 시간";#N/A,#N/A,FALSE,"총괄표"}</definedName>
    <definedName name="WWW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REF_COLUMN_1" localSheetId="12" hidden="1">[13]미수이자!#REF!</definedName>
    <definedName name="XREF_COLUMN_1" hidden="1">[13]미수이자!#REF!</definedName>
    <definedName name="XREF_COLUMN_2" localSheetId="12" hidden="1">[14]미수이자!#REF!</definedName>
    <definedName name="XREF_COLUMN_2" hidden="1">[15]미수이자!#REF!</definedName>
    <definedName name="XREF_COLUMN_3" hidden="1">#REF!</definedName>
    <definedName name="XREF_COLUMN_4" hidden="1">#REF!</definedName>
    <definedName name="XREF_COLUMN_5" hidden="1">'[16]감가상각비 Overall Test'!$E$1:$E$65536</definedName>
    <definedName name="XREF_COLUMN_6" hidden="1">'[16]감가상각비 Overall Test'!$G$1:$G$65536</definedName>
    <definedName name="XREF_COLUMN_7" localSheetId="12" hidden="1">'[10]감가상각비 Overall Test'!#REF!</definedName>
    <definedName name="XREF_COLUMN_7" hidden="1">'[11]감가상각비 Overall Test'!#REF!</definedName>
    <definedName name="XRefColumnsCount" hidden="1">13</definedName>
    <definedName name="XRefCopy10" localSheetId="12" hidden="1">'[10]감가상각비 Overall Test'!#REF!</definedName>
    <definedName name="XRefCopy10" hidden="1">'[11]감가상각비 Overall Test'!#REF!</definedName>
    <definedName name="XRefCopy11" localSheetId="12" hidden="1">'[10]감가상각비 Overall Test'!#REF!</definedName>
    <definedName name="XRefCopy11" hidden="1">'[11]감가상각비 Overall Test'!#REF!</definedName>
    <definedName name="XRefCopy1Row" hidden="1">#REF!</definedName>
    <definedName name="XRefCopy2Row" hidden="1">#REF!</definedName>
    <definedName name="XRefCopy3" hidden="1">#REF!</definedName>
    <definedName name="XRefCopy6Row" localSheetId="12" hidden="1">[17]XREF!#REF!</definedName>
    <definedName name="XRefCopy6Row" hidden="1">[17]XREF!#REF!</definedName>
    <definedName name="XRefCopy7" hidden="1">#REF!</definedName>
    <definedName name="XRefCopy8" hidden="1">#REF!</definedName>
    <definedName name="XRefCopy9" hidden="1">'[16]감가상각비 Overall Test'!$D$26</definedName>
    <definedName name="XRefCopyRangeCount" hidden="1">9</definedName>
    <definedName name="XRefPaste1" hidden="1">#REF!</definedName>
    <definedName name="XRefPaste10" hidden="1">#REF!</definedName>
    <definedName name="XRefPaste11" hidden="1">#REF!</definedName>
    <definedName name="XRefPaste12" hidden="1">#REF!</definedName>
    <definedName name="XRefPaste13" hidden="1">#REF!</definedName>
    <definedName name="XRefPaste14" hidden="1">#REF!</definedName>
    <definedName name="XRefPaste14Row" localSheetId="12" hidden="1">[17]XREF!#REF!</definedName>
    <definedName name="XRefPaste14Row" hidden="1">[17]XREF!#REF!</definedName>
    <definedName name="XRefPaste15" hidden="1">#REF!</definedName>
    <definedName name="XRefPaste16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'[16]감가상각비 Overall Test'!$F$26</definedName>
    <definedName name="XRefPaste21" localSheetId="12" hidden="1">'[10]감가상각비 Overall Test'!#REF!</definedName>
    <definedName name="XRefPaste21" hidden="1">'[11]감가상각비 Overall Test'!#REF!</definedName>
    <definedName name="XRefPaste2Row" hidden="1">#REF!</definedName>
    <definedName name="XRefPaste3" hidden="1">#REF!</definedName>
    <definedName name="XRefPaste3Row" localSheetId="12" hidden="1">[18]XREF!#REF!</definedName>
    <definedName name="XRefPaste3Row" hidden="1">[18]XREF!#REF!</definedName>
    <definedName name="XRefPaste4" hidden="1">#REF!</definedName>
    <definedName name="XRefPaste4Row" localSheetId="12" hidden="1">[17]XREF!#REF!</definedName>
    <definedName name="XRefPaste4Row" hidden="1">[17]XREF!#REF!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RangeCount" hidden="1">6</definedName>
    <definedName name="ㄱ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소">#REF!</definedName>
    <definedName name="가중평균자본비용" localSheetId="86">#REF!</definedName>
    <definedName name="가중평균자본비용">#REF!</definedName>
    <definedName name="감가상각비">#REF!</definedName>
    <definedName name="건설기간중_이자율_타인" localSheetId="86">#REF!</definedName>
    <definedName name="건설기간중_이자율_타인">#REF!</definedName>
    <definedName name="결" localSheetId="12" hidden="1">{#N/A,#N/A,FALSE,"CHECK-LIST 환산표";#N/A,#N/A,FALSE,"무재해 시간";#N/A,#N/A,FALSE,"총괄표"}</definedName>
    <definedName name="결" localSheetId="11" hidden="1">{#N/A,#N/A,FALSE,"CHECK-LIST 환산표";#N/A,#N/A,FALSE,"무재해 시간";#N/A,#N/A,FALSE,"총괄표"}</definedName>
    <definedName name="결" hidden="1">{#N/A,#N/A,FALSE,"CHECK-LIST 환산표";#N/A,#N/A,FALSE,"무재해 시간";#N/A,#N/A,FALSE,"총괄표"}</definedName>
    <definedName name="경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영정보2" localSheetId="12" hidden="1">{#N/A,#N/A,FALSE,"CHECK-LIST 환산표";#N/A,#N/A,FALSE,"무재해 시간";#N/A,#N/A,FALSE,"총괄표"}</definedName>
    <definedName name="경영정보2" localSheetId="11" hidden="1">{#N/A,#N/A,FALSE,"CHECK-LIST 환산표";#N/A,#N/A,FALSE,"무재해 시간";#N/A,#N/A,FALSE,"총괄표"}</definedName>
    <definedName name="경영정보2" hidden="1">{#N/A,#N/A,FALSE,"CHECK-LIST 환산표";#N/A,#N/A,FALSE,"무재해 시간";#N/A,#N/A,FALSE,"총괄표"}</definedName>
    <definedName name="계획대실적손익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고현아" localSheetId="12" hidden="1">{#N/A,#N/A,FALSE,"CHECK-LIST 환산표";#N/A,#N/A,FALSE,"무재해 시간";#N/A,#N/A,FALSE,"총괄표"}</definedName>
    <definedName name="고현아" localSheetId="11" hidden="1">{#N/A,#N/A,FALSE,"CHECK-LIST 환산표";#N/A,#N/A,FALSE,"무재해 시간";#N/A,#N/A,FALSE,"총괄표"}</definedName>
    <definedName name="고현아" hidden="1">{#N/A,#N/A,FALSE,"CHECK-LIST 환산표";#N/A,#N/A,FALSE,"무재해 시간";#N/A,#N/A,FALSE,"총괄표"}</definedName>
    <definedName name="공장" localSheetId="12" hidden="1">{#N/A,#N/A,FALSE,"CHECK-LIST 환산표";#N/A,#N/A,FALSE,"무재해 시간";#N/A,#N/A,FALSE,"총괄표"}</definedName>
    <definedName name="공장" localSheetId="11" hidden="1">{#N/A,#N/A,FALSE,"CHECK-LIST 환산표";#N/A,#N/A,FALSE,"무재해 시간";#N/A,#N/A,FALSE,"총괄표"}</definedName>
    <definedName name="공장" hidden="1">{#N/A,#N/A,FALSE,"CHECK-LIST 환산표";#N/A,#N/A,FALSE,"무재해 시간";#N/A,#N/A,FALSE,"총괄표"}</definedName>
    <definedName name="과목">#REF!</definedName>
    <definedName name="관리비증가율" localSheetId="86">#REF!</definedName>
    <definedName name="관리비증가율">#REF!</definedName>
    <definedName name="광주" localSheetId="12">[19]TB!#REF!</definedName>
    <definedName name="광주">[19]TB!#REF!</definedName>
    <definedName name="구__분">#REF!</definedName>
    <definedName name="구로" localSheetId="12">[19]TB!#REF!</definedName>
    <definedName name="구로">[19]TB!#REF!</definedName>
    <definedName name="구분">#REF!</definedName>
    <definedName name="금___액">#REF!</definedName>
    <definedName name="김기복" localSheetId="12" hidden="1">{#N/A,#N/A,FALSE,"CHECK-LIST 환산표";#N/A,#N/A,FALSE,"무재해 시간";#N/A,#N/A,FALSE,"총괄표"}</definedName>
    <definedName name="김기복" localSheetId="11" hidden="1">{#N/A,#N/A,FALSE,"CHECK-LIST 환산표";#N/A,#N/A,FALSE,"무재해 시간";#N/A,#N/A,FALSE,"총괄표"}</definedName>
    <definedName name="김기복" hidden="1">{#N/A,#N/A,FALSE,"CHECK-LIST 환산표";#N/A,#N/A,FALSE,"무재해 시간";#N/A,#N/A,FALSE,"총괄표"}</definedName>
    <definedName name="ㄴㄴ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나" localSheetId="12" hidden="1">{#N/A,#N/A,FALSE,"CHECK-LIST 환산표";#N/A,#N/A,FALSE,"무재해 시간";#N/A,#N/A,FALSE,"총괄표"}</definedName>
    <definedName name="나" localSheetId="11" hidden="1">{#N/A,#N/A,FALSE,"CHECK-LIST 환산표";#N/A,#N/A,FALSE,"무재해 시간";#N/A,#N/A,FALSE,"총괄표"}</definedName>
    <definedName name="나" hidden="1">{#N/A,#N/A,FALSE,"CHECK-LIST 환산표";#N/A,#N/A,FALSE,"무재해 시간";#N/A,#N/A,FALSE,"총괄표"}</definedName>
    <definedName name="는" localSheetId="12" hidden="1">{#N/A,#N/A,FALSE,"CHECK-LIST 환산표";#N/A,#N/A,FALSE,"무재해 시간";#N/A,#N/A,FALSE,"총괄표"}</definedName>
    <definedName name="는" localSheetId="11" hidden="1">{#N/A,#N/A,FALSE,"CHECK-LIST 환산표";#N/A,#N/A,FALSE,"무재해 시간";#N/A,#N/A,FALSE,"총괄표"}</definedName>
    <definedName name="는" hidden="1">{#N/A,#N/A,FALSE,"CHECK-LIST 환산표";#N/A,#N/A,FALSE,"무재해 시간";#N/A,#N/A,FALSE,"총괄표"}</definedName>
    <definedName name="ㄷㄷ" localSheetId="8" hidden="1">{#N/A,#N/A,TRUE,"일정"}</definedName>
    <definedName name="ㄷㄷ" hidden="1">{#N/A,#N/A,TRUE,"일정"}</definedName>
    <definedName name="ㄷㄷㄷ" localSheetId="8" hidden="1">{#N/A,#N/A,TRUE,"일정"}</definedName>
    <definedName name="ㄷㄷㄷ" hidden="1">{#N/A,#N/A,TRUE,"일정"}</definedName>
    <definedName name="단_기">#REF!</definedName>
    <definedName name="대구" localSheetId="12">[19]TB!#REF!</definedName>
    <definedName name="대구">[19]TB!#REF!</definedName>
    <definedName name="대전">[19]TB!#REF!</definedName>
    <definedName name="ㅁ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ㅁ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말" localSheetId="12" hidden="1">{#N/A,#N/A,FALSE,"CHECK-LIST 환산표";#N/A,#N/A,FALSE,"무재해 시간";#N/A,#N/A,FALSE,"총괄표"}</definedName>
    <definedName name="말" localSheetId="11" hidden="1">{#N/A,#N/A,FALSE,"CHECK-LIST 환산표";#N/A,#N/A,FALSE,"무재해 시간";#N/A,#N/A,FALSE,"총괄표"}</definedName>
    <definedName name="말" hidden="1">{#N/A,#N/A,FALSE,"CHECK-LIST 환산표";#N/A,#N/A,FALSE,"무재해 시간";#N/A,#N/A,FALSE,"총괄표"}</definedName>
    <definedName name="매출" localSheetId="8" hidden="1">{#N/A,#N/A,TRUE,"일정"}</definedName>
    <definedName name="매출" hidden="1">{#N/A,#N/A,TRUE,"일정"}</definedName>
    <definedName name="무상사용기간_및_통행료산정" localSheetId="86">#REF!</definedName>
    <definedName name="무상사용기간_및_통행료산정">#REF!</definedName>
    <definedName name="물가상승률" localSheetId="86">#REF!</definedName>
    <definedName name="물가상승률">#REF!</definedName>
    <definedName name="미수수">#REF!</definedName>
    <definedName name="미수수익" localSheetId="12">[20]정기적금!#REF!</definedName>
    <definedName name="미수수익">[20]정기적금!#REF!</definedName>
    <definedName name="미승인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" localSheetId="12" hidden="1">{#N/A,#N/A,FALSE,"CHECK-LIST 환산표";#N/A,#N/A,FALSE,"무재해 시간";#N/A,#N/A,FALSE,"총괄표"}</definedName>
    <definedName name="바" localSheetId="11" hidden="1">{#N/A,#N/A,FALSE,"CHECK-LIST 환산표";#N/A,#N/A,FALSE,"무재해 시간";#N/A,#N/A,FALSE,"총괄표"}</definedName>
    <definedName name="바" hidden="1">{#N/A,#N/A,FALSE,"CHECK-LIST 환산표";#N/A,#N/A,FALSE,"무재해 시간";#N/A,#N/A,FALSE,"총괄표"}</definedName>
    <definedName name="배치계획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법인세등_명세표" localSheetId="86">#REF!</definedName>
    <definedName name="법인세등_명세표">#REF!</definedName>
    <definedName name="법인세율" localSheetId="86">#REF!</definedName>
    <definedName name="법인세율">#REF!</definedName>
    <definedName name="보" localSheetId="12" hidden="1">{#N/A,#N/A,FALSE,"CHECK-LIST 환산표";#N/A,#N/A,FALSE,"무재해 시간";#N/A,#N/A,FALSE,"총괄표"}</definedName>
    <definedName name="보" localSheetId="11" hidden="1">{#N/A,#N/A,FALSE,"CHECK-LIST 환산표";#N/A,#N/A,FALSE,"무재해 시간";#N/A,#N/A,FALSE,"총괄표"}</definedName>
    <definedName name="보" hidden="1">{#N/A,#N/A,FALSE,"CHECK-LIST 환산표";#N/A,#N/A,FALSE,"무재해 시간";#N/A,#N/A,FALSE,"총괄표"}</definedName>
    <definedName name="본사">[19]TB!#REF!</definedName>
    <definedName name="본사누계">[19]TB!#REF!</definedName>
    <definedName name="본사전기">[19]TB!#REF!</definedName>
    <definedName name="부속" hidden="1">[21]수정시산표!#REF!</definedName>
    <definedName name="부안협" localSheetId="12" hidden="1">{#N/A,#N/A,FALSE,"CHECK-LIST 환산표";#N/A,#N/A,FALSE,"무재해 시간";#N/A,#N/A,FALSE,"총괄표"}</definedName>
    <definedName name="부안협" localSheetId="11" hidden="1">{#N/A,#N/A,FALSE,"CHECK-LIST 환산표";#N/A,#N/A,FALSE,"무재해 시간";#N/A,#N/A,FALSE,"총괄표"}</definedName>
    <definedName name="부안협" hidden="1">{#N/A,#N/A,FALSE,"CHECK-LIST 환산표";#N/A,#N/A,FALSE,"무재해 시간";#N/A,#N/A,FALSE,"총괄표"}</definedName>
    <definedName name="부평">[19]TB!#REF!</definedName>
    <definedName name="불변할인율" localSheetId="86">#REF!</definedName>
    <definedName name="불변할인율">#REF!</definedName>
    <definedName name="비고">#REF!</definedName>
    <definedName name="사랑해" localSheetId="12" hidden="1">{#N/A,#N/A,FALSE,"CHECK-LIST 환산표";#N/A,#N/A,FALSE,"무재해 시간";#N/A,#N/A,FALSE,"총괄표"}</definedName>
    <definedName name="사랑해" localSheetId="11" hidden="1">{#N/A,#N/A,FALSE,"CHECK-LIST 환산표";#N/A,#N/A,FALSE,"무재해 시간";#N/A,#N/A,FALSE,"총괄표"}</definedName>
    <definedName name="사랑해" hidden="1">{#N/A,#N/A,FALSE,"CHECK-LIST 환산표";#N/A,#N/A,FALSE,"무재해 시간";#N/A,#N/A,FALSE,"총괄표"}</definedName>
    <definedName name="사업성" localSheetId="86">#REF!</definedName>
    <definedName name="사업성">#REF!</definedName>
    <definedName name="사업주에대한_검토" localSheetId="86">#REF!</definedName>
    <definedName name="사업주에대한_검토">#REF!</definedName>
    <definedName name="산업기반신용보증료율" localSheetId="86">#REF!</definedName>
    <definedName name="산업기반신용보증료율">#REF!</definedName>
    <definedName name="상락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상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상표권07" localSheetId="12">[22]상표권!#REF!</definedName>
    <definedName name="상표권07">[23]상표권!#REF!</definedName>
    <definedName name="상표권08" localSheetId="12">[22]상표권!#REF!</definedName>
    <definedName name="상표권08">[23]상표권!#REF!</definedName>
    <definedName name="상표권09" localSheetId="12">[22]상표권!#REF!</definedName>
    <definedName name="상표권09">[23]상표권!#REF!</definedName>
    <definedName name="상표권10" localSheetId="12">[22]상표권!#REF!</definedName>
    <definedName name="상표권10">[23]상표권!#REF!</definedName>
    <definedName name="상환기일">#REF!</definedName>
    <definedName name="상환방법">#REF!</definedName>
    <definedName name="서울사무소" localSheetId="12">[19]TB!#REF!</definedName>
    <definedName name="서울사무소">[19]TB!#REF!</definedName>
    <definedName name="서울사무소월차">[19]TB!#REF!</definedName>
    <definedName name="서울사무소전기">[19]TB!#REF!</definedName>
    <definedName name="석" localSheetId="12" hidden="1">{#N/A,#N/A,FALSE,"CHECK-LIST 환산표";#N/A,#N/A,FALSE,"무재해 시간";#N/A,#N/A,FALSE,"총괄표"}</definedName>
    <definedName name="석" localSheetId="11" hidden="1">{#N/A,#N/A,FALSE,"CHECK-LIST 환산표";#N/A,#N/A,FALSE,"무재해 시간";#N/A,#N/A,FALSE,"총괄표"}</definedName>
    <definedName name="석" hidden="1">{#N/A,#N/A,FALSE,"CHECK-LIST 환산표";#N/A,#N/A,FALSE,"무재해 시간";#N/A,#N/A,FALSE,"총괄표"}</definedName>
    <definedName name="선수" localSheetId="86">#REF!</definedName>
    <definedName name="선수">#REF!</definedName>
    <definedName name="성남">[19]TB!#REF!</definedName>
    <definedName name="수정분">[19]TB!#REF!</definedName>
    <definedName name="시나리오" localSheetId="86">#REF!</definedName>
    <definedName name="시나리오">#REF!</definedName>
    <definedName name="시트" localSheetId="12" hidden="1">{"PL2",#N/A,FALSE,"PL";"CH1",#N/A,FALSE,"현금흐름표";"CH2",#N/A,FALSE,"현금흐름표";"BS1",#N/A,FALSE,"BS";"CO",#N/A,FALSE,"매출원가";"BS2",#N/A,FALSE,"BS"}</definedName>
    <definedName name="시트" localSheetId="11" hidden="1">{"PL2",#N/A,FALSE,"PL";"CH1",#N/A,FALSE,"현금흐름표";"CH2",#N/A,FALSE,"현금흐름표";"BS1",#N/A,FALSE,"BS";"CO",#N/A,FALSE,"매출원가";"BS2",#N/A,FALSE,"BS"}</definedName>
    <definedName name="시트" hidden="1">{"PL2",#N/A,FALSE,"PL";"CH1",#N/A,FALSE,"현금흐름표";"CH2",#N/A,FALSE,"현금흐름표";"BS1",#N/A,FALSE,"BS";"CO",#N/A,FALSE,"매출원가";"BS2",#N/A,FALSE,"BS"}</definedName>
    <definedName name="신" localSheetId="12" hidden="1">{#N/A,#N/A,FALSE,"CHECK-LIST 환산표";#N/A,#N/A,FALSE,"무재해 시간";#N/A,#N/A,FALSE,"총괄표"}</definedName>
    <definedName name="신" localSheetId="11" hidden="1">{#N/A,#N/A,FALSE,"CHECK-LIST 환산표";#N/A,#N/A,FALSE,"무재해 시간";#N/A,#N/A,FALSE,"총괄표"}</definedName>
    <definedName name="신" hidden="1">{#N/A,#N/A,FALSE,"CHECK-LIST 환산표";#N/A,#N/A,FALSE,"무재해 시간";#N/A,#N/A,FALSE,"총괄표"}</definedName>
    <definedName name="실적" localSheetId="12" hidden="1">{#N/A,#N/A,FALSE,"CHECK-LIST 환산표";#N/A,#N/A,FALSE,"무재해 시간";#N/A,#N/A,FALSE,"총괄표"}</definedName>
    <definedName name="실적" localSheetId="11" hidden="1">{#N/A,#N/A,FALSE,"CHECK-LIST 환산표";#N/A,#N/A,FALSE,"무재해 시간";#N/A,#N/A,FALSE,"총괄표"}</definedName>
    <definedName name="실적" hidden="1">{#N/A,#N/A,FALSE,"CHECK-LIST 환산표";#N/A,#N/A,FALSE,"무재해 시간";#N/A,#N/A,FALSE,"총괄표"}</definedName>
    <definedName name="ㅇㅇ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정기1" localSheetId="12" hidden="1">{#N/A,#N/A,FALSE,"CHECK-LIST 환산표";#N/A,#N/A,FALSE,"무재해 시간";#N/A,#N/A,FALSE,"총괄표"}</definedName>
    <definedName name="안정기1" localSheetId="11" hidden="1">{#N/A,#N/A,FALSE,"CHECK-LIST 환산표";#N/A,#N/A,FALSE,"무재해 시간";#N/A,#N/A,FALSE,"총괄표"}</definedName>
    <definedName name="안정기1" hidden="1">{#N/A,#N/A,FALSE,"CHECK-LIST 환산표";#N/A,#N/A,FALSE,"무재해 시간";#N/A,#N/A,FALSE,"총괄표"}</definedName>
    <definedName name="야" localSheetId="12" hidden="1">{#N/A,#N/A,FALSE,"CHECK-LIST 환산표";#N/A,#N/A,FALSE,"무재해 시간";#N/A,#N/A,FALSE,"총괄표"}</definedName>
    <definedName name="야" localSheetId="11" hidden="1">{#N/A,#N/A,FALSE,"CHECK-LIST 환산표";#N/A,#N/A,FALSE,"무재해 시간";#N/A,#N/A,FALSE,"총괄표"}</definedName>
    <definedName name="야" hidden="1">{#N/A,#N/A,FALSE,"CHECK-LIST 환산표";#N/A,#N/A,FALSE,"무재해 시간";#N/A,#N/A,FALSE,"총괄표"}</definedName>
    <definedName name="약정수수료율_1년이내" localSheetId="86">#REF!</definedName>
    <definedName name="약정수수료율_1년이내">#REF!</definedName>
    <definedName name="약정수수료율_1년초과" localSheetId="86">#REF!</definedName>
    <definedName name="약정수수료율_1년초과">#REF!</definedName>
    <definedName name="양산">[19]TB!#REF!</definedName>
    <definedName name="영" localSheetId="12" hidden="1">{#N/A,#N/A,FALSE,"CHECK-LIST 환산표";#N/A,#N/A,FALSE,"무재해 시간";#N/A,#N/A,FALSE,"총괄표"}</definedName>
    <definedName name="영" localSheetId="11" hidden="1">{#N/A,#N/A,FALSE,"CHECK-LIST 환산표";#N/A,#N/A,FALSE,"무재해 시간";#N/A,#N/A,FALSE,"총괄표"}</definedName>
    <definedName name="영" hidden="1">{#N/A,#N/A,FALSE,"CHECK-LIST 환산표";#N/A,#N/A,FALSE,"무재해 시간";#N/A,#N/A,FALSE,"총괄표"}</definedName>
    <definedName name="영업" localSheetId="86">#REF!</definedName>
    <definedName name="영업">#REF!</definedName>
    <definedName name="영업비_및_일반관리비추정" localSheetId="86">#REF!</definedName>
    <definedName name="영업비_및_일반관리비추정">#REF!</definedName>
    <definedName name="영업외비용" localSheetId="12" hidden="1">{#N/A,#N/A,FALSE,"BS";#N/A,#N/A,FALSE,"PL";#N/A,#N/A,FALSE,"처분";#N/A,#N/A,FALSE,"현금";#N/A,#N/A,FALSE,"매출";#N/A,#N/A,FALSE,"원가";#N/A,#N/A,FALSE,"경영"}</definedName>
    <definedName name="영업외비용" localSheetId="11" hidden="1">{#N/A,#N/A,FALSE,"BS";#N/A,#N/A,FALSE,"PL";#N/A,#N/A,FALSE,"처분";#N/A,#N/A,FALSE,"현금";#N/A,#N/A,FALSE,"매출";#N/A,#N/A,FALSE,"원가";#N/A,#N/A,FALSE,"경영"}</definedName>
    <definedName name="영업외비용" hidden="1">{#N/A,#N/A,FALSE,"BS";#N/A,#N/A,FALSE,"PL";#N/A,#N/A,FALSE,"처분";#N/A,#N/A,FALSE,"현금";#N/A,#N/A,FALSE,"매출";#N/A,#N/A,FALSE,"원가";#N/A,#N/A,FALSE,"경영"}</definedName>
    <definedName name="영업외비용_추정" localSheetId="86">#REF!</definedName>
    <definedName name="영업외비용_추정">#REF!</definedName>
    <definedName name="예금2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외주공사">'[24]1.외주공사'!$B$4:$AN$39</definedName>
    <definedName name="운영기간중이자율_타인" localSheetId="86">#REF!</definedName>
    <definedName name="운영기간중이자율_타인">#REF!</definedName>
    <definedName name="원가분개" localSheetId="12">[19]TB!#REF!</definedName>
    <definedName name="원가분개">[19]TB!#REF!</definedName>
    <definedName name="유" localSheetId="12" hidden="1">{#N/A,#N/A,FALSE,"CHECK-LIST 환산표";#N/A,#N/A,FALSE,"무재해 시간";#N/A,#N/A,FALSE,"총괄표"}</definedName>
    <definedName name="유" localSheetId="11" hidden="1">{#N/A,#N/A,FALSE,"CHECK-LIST 환산표";#N/A,#N/A,FALSE,"무재해 시간";#N/A,#N/A,FALSE,"총괄표"}</definedName>
    <definedName name="유" hidden="1">{#N/A,#N/A,FALSE,"CHECK-LIST 환산표";#N/A,#N/A,FALSE,"무재해 시간";#N/A,#N/A,FALSE,"총괄표"}</definedName>
    <definedName name="유가" localSheetId="12" hidden="1">{#N/A,#N/A,FALSE,"BS";#N/A,#N/A,FALSE,"PL";#N/A,#N/A,FALSE,"처분";#N/A,#N/A,FALSE,"현금";#N/A,#N/A,FALSE,"매출";#N/A,#N/A,FALSE,"원가";#N/A,#N/A,FALSE,"경영"}</definedName>
    <definedName name="유가" localSheetId="11" hidden="1">{#N/A,#N/A,FALSE,"BS";#N/A,#N/A,FALSE,"PL";#N/A,#N/A,FALSE,"처분";#N/A,#N/A,FALSE,"현금";#N/A,#N/A,FALSE,"매출";#N/A,#N/A,FALSE,"원가";#N/A,#N/A,FALSE,"경영"}</definedName>
    <definedName name="유가" hidden="1">{#N/A,#N/A,FALSE,"BS";#N/A,#N/A,FALSE,"PL";#N/A,#N/A,FALSE,"처분";#N/A,#N/A,FALSE,"현금";#N/A,#N/A,FALSE,"매출";#N/A,#N/A,FALSE,"원가";#N/A,#N/A,FALSE,"경영"}</definedName>
    <definedName name="유실" localSheetId="12" hidden="1">{#N/A,#N/A,FALSE,"CHECK-LIST 환산표";#N/A,#N/A,FALSE,"무재해 시간";#N/A,#N/A,FALSE,"총괄표"}</definedName>
    <definedName name="유실" localSheetId="11" hidden="1">{#N/A,#N/A,FALSE,"CHECK-LIST 환산표";#N/A,#N/A,FALSE,"무재해 시간";#N/A,#N/A,FALSE,"총괄표"}</definedName>
    <definedName name="유실" hidden="1">{#N/A,#N/A,FALSE,"CHECK-LIST 환산표";#N/A,#N/A,FALSE,"무재해 시간";#N/A,#N/A,FALSE,"총괄표"}</definedName>
    <definedName name="윤" localSheetId="12" hidden="1">{#N/A,#N/A,FALSE,"CHECK-LIST 환산표";#N/A,#N/A,FALSE,"무재해 시간";#N/A,#N/A,FALSE,"총괄표"}</definedName>
    <definedName name="윤" localSheetId="11" hidden="1">{#N/A,#N/A,FALSE,"CHECK-LIST 환산표";#N/A,#N/A,FALSE,"무재해 시간";#N/A,#N/A,FALSE,"총괄표"}</definedName>
    <definedName name="윤" hidden="1">{#N/A,#N/A,FALSE,"CHECK-LIST 환산표";#N/A,#N/A,FALSE,"무재해 시간";#N/A,#N/A,FALSE,"총괄표"}</definedName>
    <definedName name="윤석" localSheetId="12" hidden="1">{#N/A,#N/A,FALSE,"CHECK-LIST 환산표";#N/A,#N/A,FALSE,"무재해 시간";#N/A,#N/A,FALSE,"총괄표"}</definedName>
    <definedName name="윤석" localSheetId="11" hidden="1">{#N/A,#N/A,FALSE,"CHECK-LIST 환산표";#N/A,#N/A,FALSE,"무재해 시간";#N/A,#N/A,FALSE,"총괄표"}</definedName>
    <definedName name="윤석" hidden="1">{#N/A,#N/A,FALSE,"CHECK-LIST 환산표";#N/A,#N/A,FALSE,"무재해 시간";#N/A,#N/A,FALSE,"총괄표"}</definedName>
    <definedName name="윤석은" localSheetId="12" hidden="1">{#N/A,#N/A,FALSE,"CHECK-LIST 환산표";#N/A,#N/A,FALSE,"무재해 시간";#N/A,#N/A,FALSE,"총괄표"}</definedName>
    <definedName name="윤석은" localSheetId="1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은" localSheetId="12" hidden="1">{#N/A,#N/A,FALSE,"CHECK-LIST 환산표";#N/A,#N/A,FALSE,"무재해 시간";#N/A,#N/A,FALSE,"총괄표"}</definedName>
    <definedName name="은" localSheetId="11" hidden="1">{#N/A,#N/A,FALSE,"CHECK-LIST 환산표";#N/A,#N/A,FALSE,"무재해 시간";#N/A,#N/A,FALSE,"총괄표"}</definedName>
    <definedName name="은" hidden="1">{#N/A,#N/A,FALSE,"CHECK-LIST 환산표";#N/A,#N/A,FALSE,"무재해 시간";#N/A,#N/A,FALSE,"총괄표"}</definedName>
    <definedName name="은경" localSheetId="12" hidden="1">{#N/A,#N/A,FALSE,"CHECK-LIST 환산표";#N/A,#N/A,FALSE,"무재해 시간";#N/A,#N/A,FALSE,"총괄표"}</definedName>
    <definedName name="은경" localSheetId="1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이자율">#REF!</definedName>
    <definedName name="인건비상승률" localSheetId="86">#REF!</definedName>
    <definedName name="인건비상승률">#REF!</definedName>
    <definedName name="ㅈㅈㅈ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기자본비용_인정이자" localSheetId="86">#REF!</definedName>
    <definedName name="자기자본비용_인정이자">#REF!</definedName>
    <definedName name="자본금" localSheetId="12" hidden="1">{#N/A,#N/A,FALSE,"Aging Summary";#N/A,#N/A,FALSE,"Ratio Analysis";#N/A,#N/A,FALSE,"Test 120 Day Accts";#N/A,#N/A,FALSE,"Tickmarks"}</definedName>
    <definedName name="자본금" localSheetId="11" hidden="1">{#N/A,#N/A,FALSE,"Aging Summary";#N/A,#N/A,FALSE,"Ratio Analysis";#N/A,#N/A,FALSE,"Test 120 Day Accts";#N/A,#N/A,FALSE,"Tickmarks"}</definedName>
    <definedName name="자본금" hidden="1">{#N/A,#N/A,FALSE,"Aging Summary";#N/A,#N/A,FALSE,"Ratio Analysis";#N/A,#N/A,FALSE,"Test 120 Day Accts";#N/A,#N/A,FALSE,"Tickmarks"}</definedName>
    <definedName name="작성조서" localSheetId="12" hidden="1">{#N/A,#N/A,FALSE,"BS";#N/A,#N/A,FALSE,"PL";#N/A,#N/A,FALSE,"처분";#N/A,#N/A,FALSE,"현금";#N/A,#N/A,FALSE,"매출";#N/A,#N/A,FALSE,"원가";#N/A,#N/A,FALSE,"경영"}</definedName>
    <definedName name="작성조서" localSheetId="11" hidden="1">{#N/A,#N/A,FALSE,"BS";#N/A,#N/A,FALSE,"PL";#N/A,#N/A,FALSE,"처분";#N/A,#N/A,FALSE,"현금";#N/A,#N/A,FALSE,"매출";#N/A,#N/A,FALSE,"원가";#N/A,#N/A,FALSE,"경영"}</definedName>
    <definedName name="작성조서" hidden="1">{#N/A,#N/A,FALSE,"BS";#N/A,#N/A,FALSE,"PL";#N/A,#N/A,FALSE,"처분";#N/A,#N/A,FALSE,"현금";#N/A,#N/A,FALSE,"매출";#N/A,#N/A,FALSE,"원가";#N/A,#N/A,FALSE,"경영"}</definedName>
    <definedName name="재료비" localSheetId="8" hidden="1">{#N/A,#N/A,TRUE,"일정"}</definedName>
    <definedName name="재료비" hidden="1">{#N/A,#N/A,TRUE,"일정"}</definedName>
    <definedName name="전표청구" localSheetId="12" hidden="1">{#N/A,#N/A,FALSE,"CHECK-LIST 환산표";#N/A,#N/A,FALSE,"무재해 시간";#N/A,#N/A,FALSE,"총괄표"}</definedName>
    <definedName name="전표청구" localSheetId="11" hidden="1">{#N/A,#N/A,FALSE,"CHECK-LIST 환산표";#N/A,#N/A,FALSE,"무재해 시간";#N/A,#N/A,FALSE,"총괄표"}</definedName>
    <definedName name="전표청구" hidden="1">{#N/A,#N/A,FALSE,"CHECK-LIST 환산표";#N/A,#N/A,FALSE,"무재해 시간";#N/A,#N/A,FALSE,"총괄표"}</definedName>
    <definedName name="정" localSheetId="12" hidden="1">{#N/A,#N/A,FALSE,"CHECK-LIST 환산표";#N/A,#N/A,FALSE,"무재해 시간";#N/A,#N/A,FALSE,"총괄표"}</definedName>
    <definedName name="정" localSheetId="11" hidden="1">{#N/A,#N/A,FALSE,"CHECK-LIST 환산표";#N/A,#N/A,FALSE,"무재해 시간";#N/A,#N/A,FALSE,"총괄표"}</definedName>
    <definedName name="정" hidden="1">{#N/A,#N/A,FALSE,"CHECK-LIST 환산표";#N/A,#N/A,FALSE,"무재해 시간";#N/A,#N/A,FALSE,"총괄표"}</definedName>
    <definedName name="정상락" localSheetId="8" hidden="1">{#N/A,#N/A,TRUE,"일정"}</definedName>
    <definedName name="정상락" hidden="1">{#N/A,#N/A,TRUE,"일정"}</definedName>
    <definedName name="제29회" localSheetId="8" hidden="1">{#N/A,#N/A,TRUE,"일정"}</definedName>
    <definedName name="제29회" hidden="1">{#N/A,#N/A,TRUE,"일정"}</definedName>
    <definedName name="제30회신주인수권부사채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제30회신주인수권부사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회서번호">#REF!</definedName>
    <definedName name="종합회계" localSheetId="12" hidden="1">{#N/A,#N/A,FALSE,"BS";#N/A,#N/A,FALSE,"PL";#N/A,#N/A,FALSE,"처분";#N/A,#N/A,FALSE,"현금";#N/A,#N/A,FALSE,"매출";#N/A,#N/A,FALSE,"원가";#N/A,#N/A,FALSE,"경영"}</definedName>
    <definedName name="종합회계" localSheetId="11" hidden="1">{#N/A,#N/A,FALSE,"BS";#N/A,#N/A,FALSE,"PL";#N/A,#N/A,FALSE,"처분";#N/A,#N/A,FALSE,"현금";#N/A,#N/A,FALSE,"매출";#N/A,#N/A,FALSE,"원가";#N/A,#N/A,FALSE,"경영"}</definedName>
    <definedName name="종합회계" hidden="1">{#N/A,#N/A,FALSE,"BS";#N/A,#N/A,FALSE,"PL";#N/A,#N/A,FALSE,"처분";#N/A,#N/A,FALSE,"현금";#N/A,#N/A,FALSE,"매출";#N/A,#N/A,FALSE,"원가";#N/A,#N/A,FALSE,"경영"}</definedName>
    <definedName name="주민세율" localSheetId="86">#REF!</definedName>
    <definedName name="주민세율">#REF!</definedName>
    <definedName name="주소">#REF!</definedName>
    <definedName name="주정관" localSheetId="8" hidden="1">{#N/A,#N/A,TRUE,"일정"}</definedName>
    <definedName name="주정관" hidden="1">{#N/A,#N/A,TRUE,"일정"}</definedName>
    <definedName name="중간요약" localSheetId="12" hidden="1">{#N/A,#N/A,FALSE,"BS";#N/A,#N/A,FALSE,"PL";#N/A,#N/A,FALSE,"처분";#N/A,#N/A,FALSE,"현금";#N/A,#N/A,FALSE,"매출";#N/A,#N/A,FALSE,"원가";#N/A,#N/A,FALSE,"경영"}</definedName>
    <definedName name="중간요약" localSheetId="1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증감구로" localSheetId="12">[19]TB!#REF!</definedName>
    <definedName name="증감구로">[19]TB!#REF!</definedName>
    <definedName name="증감본사누계">[19]TB!#REF!</definedName>
    <definedName name="증감부평">[19]TB!#REF!</definedName>
    <definedName name="증감서울">[19]TB!#REF!</definedName>
    <definedName name="증감창원">[19]TB!#REF!</definedName>
    <definedName name="직영공사">'[24]2.직영공사'!$B$4:$M$39</definedName>
    <definedName name="ㅊㅊ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입금스케줄_pbc" localSheetId="12" hidden="1">{#N/A,#N/A,FALSE,"BS";#N/A,#N/A,FALSE,"PL";#N/A,#N/A,FALSE,"처분";#N/A,#N/A,FALSE,"현금";#N/A,#N/A,FALSE,"매출";#N/A,#N/A,FALSE,"원가";#N/A,#N/A,FALSE,"경영"}</definedName>
    <definedName name="차입금스케줄_pbc" localSheetId="11" hidden="1">{#N/A,#N/A,FALSE,"BS";#N/A,#N/A,FALSE,"PL";#N/A,#N/A,FALSE,"처분";#N/A,#N/A,FALSE,"현금";#N/A,#N/A,FALSE,"매출";#N/A,#N/A,FALSE,"원가";#N/A,#N/A,FALSE,"경영"}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처">#REF!</definedName>
    <definedName name="창원" localSheetId="12">[19]TB!#REF!</definedName>
    <definedName name="창원">[19]TB!#REF!</definedName>
    <definedName name="채권sort">#REF!</definedName>
    <definedName name="채권계정과목">#REF!</definedName>
    <definedName name="채권금액">#REF!</definedName>
    <definedName name="채무sort">#REF!</definedName>
    <definedName name="채무계정과목">#REF!</definedName>
    <definedName name="채무금액">#REF!</definedName>
    <definedName name="채무제목">#REF!</definedName>
    <definedName name="천안" localSheetId="12">[19]TB!#REF!</definedName>
    <definedName name="천안">[19]TB!#REF!</definedName>
    <definedName name="총사업비분석" localSheetId="86">#REF!</definedName>
    <definedName name="총사업비분석">#REF!</definedName>
    <definedName name="총사업비추정" localSheetId="86">#REF!</definedName>
    <definedName name="총사업비추정">#REF!</definedName>
    <definedName name="추정_CASH_FLOW" localSheetId="86">#REF!</definedName>
    <definedName name="추정_CASH_FLOW">#REF!</definedName>
    <definedName name="추정CASH_FLOW" localSheetId="86">#REF!</definedName>
    <definedName name="추정CASH_FLOW">#REF!</definedName>
    <definedName name="추정대차대조표" localSheetId="86">#REF!</definedName>
    <definedName name="추정대차대조표">#REF!</definedName>
    <definedName name="추정손익계산서" localSheetId="86">#REF!</definedName>
    <definedName name="추정손익계산서">#REF!</definedName>
    <definedName name="ㅋㅋㅋㅋ" localSheetId="12" hidden="1">{#N/A,#N/A,FALSE,"Aging Summary";#N/A,#N/A,FALSE,"Ratio Analysis";#N/A,#N/A,FALSE,"Test 120 Day Accts";#N/A,#N/A,FALSE,"Tickmarks"}</definedName>
    <definedName name="ㅋㅋㅋㅋ" localSheetId="11" hidden="1">{#N/A,#N/A,FALSE,"Aging Summary";#N/A,#N/A,FALSE,"Ratio Analysis";#N/A,#N/A,FALSE,"Test 120 Day Accts";#N/A,#N/A,FALSE,"Tickmarks"}</definedName>
    <definedName name="ㅋㅋㅋㅋ" hidden="1">{#N/A,#N/A,FALSE,"Aging Summary";#N/A,#N/A,FALSE,"Ratio Analysis";#N/A,#N/A,FALSE,"Test 120 Day Accts";#N/A,#N/A,FALSE,"Tickmarks"}</definedName>
    <definedName name="ㅌㅌ" localSheetId="8" hidden="1">{#N/A,#N/A,TRUE,"일정"}</definedName>
    <definedName name="ㅌㅌ" hidden="1">{#N/A,#N/A,TRUE,"일정"}</definedName>
    <definedName name="통행량" localSheetId="86">#REF!</definedName>
    <definedName name="통행량">#REF!</definedName>
    <definedName name="통행량분석" localSheetId="86">#REF!</definedName>
    <definedName name="통행량분석">#REF!</definedName>
    <definedName name="통행료" localSheetId="86">#REF!</definedName>
    <definedName name="통행료">#REF!</definedName>
    <definedName name="통행료산정" localSheetId="86">#REF!</definedName>
    <definedName name="통행료산정">#REF!</definedName>
    <definedName name="통행료수입추정" localSheetId="86">#REF!</definedName>
    <definedName name="통행료수입추정">#REF!</definedName>
    <definedName name="현금" localSheetId="86">#REF!</definedName>
    <definedName name="현금">#REF!</definedName>
    <definedName name="현금흐름" localSheetId="12" hidden="1">{#N/A,#N/A,FALSE,"Aging Summary";#N/A,#N/A,FALSE,"Ratio Analysis";#N/A,#N/A,FALSE,"Test 120 Day Accts";#N/A,#N/A,FALSE,"Tickmarks"}</definedName>
    <definedName name="현금흐름" localSheetId="11" hidden="1">{#N/A,#N/A,FALSE,"Aging Summary";#N/A,#N/A,FALSE,"Ratio Analysis";#N/A,#N/A,FALSE,"Test 120 Day Accts";#N/A,#N/A,FALSE,"Tickmarks"}</definedName>
    <definedName name="현금흐름" hidden="1">{#N/A,#N/A,FALSE,"Aging Summary";#N/A,#N/A,FALSE,"Ratio Analysis";#N/A,#N/A,FALSE,"Test 120 Day Accts";#N/A,#N/A,FALSE,"Tickmarks"}</definedName>
    <definedName name="현아" localSheetId="12" hidden="1">{#N/A,#N/A,FALSE,"CHECK-LIST 환산표";#N/A,#N/A,FALSE,"무재해 시간";#N/A,#N/A,FALSE,"총괄표"}</definedName>
    <definedName name="현아" localSheetId="11" hidden="1">{#N/A,#N/A,FALSE,"CHECK-LIST 환산표";#N/A,#N/A,FALSE,"무재해 시간";#N/A,#N/A,FALSE,"총괄표"}</definedName>
    <definedName name="현아" hidden="1">{#N/A,#N/A,FALSE,"CHECK-LIST 환산표";#N/A,#N/A,FALSE,"무재해 시간";#N/A,#N/A,FALSE,"총괄표"}</definedName>
    <definedName name="현작성조서" localSheetId="12" hidden="1">{#N/A,#N/A,FALSE,"BS";#N/A,#N/A,FALSE,"PL";#N/A,#N/A,FALSE,"처분";#N/A,#N/A,FALSE,"현금";#N/A,#N/A,FALSE,"매출";#N/A,#N/A,FALSE,"원가";#N/A,#N/A,FALSE,"경영"}</definedName>
    <definedName name="현작성조서" localSheetId="11" hidden="1">{#N/A,#N/A,FALSE,"BS";#N/A,#N/A,FALSE,"PL";#N/A,#N/A,FALSE,"처분";#N/A,#N/A,FALSE,"현금";#N/A,#N/A,FALSE,"매출";#N/A,#N/A,FALSE,"원가";#N/A,#N/A,FALSE,"경영"}</definedName>
    <definedName name="현작성조서" hidden="1">{#N/A,#N/A,FALSE,"BS";#N/A,#N/A,FALSE,"PL";#N/A,#N/A,FALSE,"처분";#N/A,#N/A,FALSE,"현금";#N/A,#N/A,FALSE,"매출";#N/A,#N/A,FALSE,"원가";#N/A,#N/A,FALSE,"경영"}</definedName>
    <definedName name="현황" localSheetId="12" hidden="1">{#N/A,#N/A,FALSE,"CHECK-LIST 환산표";#N/A,#N/A,FALSE,"무재해 시간";#N/A,#N/A,FALSE,"총괄표"}</definedName>
    <definedName name="현황" localSheetId="11" hidden="1">{#N/A,#N/A,FALSE,"CHECK-LIST 환산표";#N/A,#N/A,FALSE,"무재해 시간";#N/A,#N/A,FALSE,"총괄표"}</definedName>
    <definedName name="현황" hidden="1">{#N/A,#N/A,FALSE,"CHECK-LIST 환산표";#N/A,#N/A,FALSE,"무재해 시간";#N/A,#N/A,FALSE,"총괄표"}</definedName>
    <definedName name="환산율" localSheetId="86">#REF!</definedName>
    <definedName name="환산율">#REF!</definedName>
    <definedName name="회사명">#REF!</definedName>
    <definedName name="흐름" localSheetId="12" hidden="1">{#N/A,#N/A,FALSE,"BS";#N/A,#N/A,FALSE,"PL";#N/A,#N/A,FALSE,"처분";#N/A,#N/A,FALSE,"현금";#N/A,#N/A,FALSE,"매출";#N/A,#N/A,FALSE,"원가";#N/A,#N/A,FALSE,"경영"}</definedName>
    <definedName name="흐름" localSheetId="11" hidden="1">{#N/A,#N/A,FALSE,"BS";#N/A,#N/A,FALSE,"PL";#N/A,#N/A,FALSE,"처분";#N/A,#N/A,FALSE,"현금";#N/A,#N/A,FALSE,"매출";#N/A,#N/A,FALSE,"원가";#N/A,#N/A,FALSE,"경영"}</definedName>
    <definedName name="흐름" hidden="1">{#N/A,#N/A,FALSE,"BS";#N/A,#N/A,FALSE,"PL";#N/A,#N/A,FALSE,"처분";#N/A,#N/A,FALSE,"현금";#N/A,#N/A,FALSE,"매출";#N/A,#N/A,FALSE,"원가";#N/A,#N/A,FALSE,"경영"}</definedName>
    <definedName name="ㅏ" localSheetId="12" hidden="1">{#N/A,#N/A,FALSE,"BS";#N/A,#N/A,FALSE,"PL";#N/A,#N/A,FALSE,"처분";#N/A,#N/A,FALSE,"현금";#N/A,#N/A,FALSE,"매출";#N/A,#N/A,FALSE,"원가";#N/A,#N/A,FALSE,"경영"}</definedName>
    <definedName name="ㅏ" localSheetId="11" hidden="1">{#N/A,#N/A,FALSE,"BS";#N/A,#N/A,FALSE,"PL";#N/A,#N/A,FALSE,"처분";#N/A,#N/A,FALSE,"현금";#N/A,#N/A,FALSE,"매출";#N/A,#N/A,FALSE,"원가";#N/A,#N/A,FALSE,"경영"}</definedName>
    <definedName name="ㅏ" hidden="1">{#N/A,#N/A,FALSE,"BS";#N/A,#N/A,FALSE,"PL";#N/A,#N/A,FALSE,"처분";#N/A,#N/A,FALSE,"현금";#N/A,#N/A,FALSE,"매출";#N/A,#N/A,FALSE,"원가";#N/A,#N/A,FALSE,"경영"}</definedName>
    <definedName name="ㅏㅏ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10" hidden="1">{#N/A,#N/A,FALSE,"CHECK-LIST 환산표";#N/A,#N/A,FALSE,"무재해 시간";#N/A,#N/A,FALSE,"총괄표"}</definedName>
    <definedName name="ㅏㅏㅏ" localSheetId="12" hidden="1">{#N/A,#N/A,FALSE,"CHECK-LIST 환산표";#N/A,#N/A,FALSE,"무재해 시간";#N/A,#N/A,FALSE,"총괄표"}</definedName>
    <definedName name="ㅏㅏㅏ" localSheetId="11" hidden="1">{#N/A,#N/A,FALSE,"CHECK-LIST 환산표";#N/A,#N/A,FALSE,"무재해 시간";#N/A,#N/A,FALSE,"총괄표"}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8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ㅕ" localSheetId="12" hidden="1">{#N/A,#N/A,FALSE,"BS";#N/A,#N/A,FALSE,"PL";#N/A,#N/A,FALSE,"처분";#N/A,#N/A,FALSE,"현금";#N/A,#N/A,FALSE,"매출";#N/A,#N/A,FALSE,"원가";#N/A,#N/A,FALSE,"경영"}</definedName>
    <definedName name="ㅕ" localSheetId="1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25725"/>
  <pivotCaches>
    <pivotCache cacheId="0" r:id="rId115"/>
  </pivotCaches>
</workbook>
</file>

<file path=xl/calcChain.xml><?xml version="1.0" encoding="utf-8"?>
<calcChain xmlns="http://schemas.openxmlformats.org/spreadsheetml/2006/main">
  <c r="F16" i="99"/>
  <c r="F22" i="98"/>
  <c r="F19"/>
  <c r="G19"/>
  <c r="C6" i="100"/>
  <c r="C5"/>
  <c r="H23" i="98"/>
  <c r="H22"/>
  <c r="E19" l="1"/>
  <c r="F24"/>
  <c r="H19" l="1"/>
  <c r="E149" i="97" l="1"/>
  <c r="F170"/>
  <c r="E107"/>
  <c r="I49" i="12"/>
  <c r="J193"/>
  <c r="I32" i="8" l="1"/>
  <c r="E32"/>
  <c r="J141" i="12"/>
  <c r="J131"/>
  <c r="L2" i="96"/>
  <c r="L3"/>
  <c r="K22"/>
  <c r="K23"/>
  <c r="L24"/>
  <c r="K25"/>
  <c r="K26"/>
  <c r="K27"/>
  <c r="K28"/>
  <c r="K29"/>
  <c r="K30"/>
  <c r="K21"/>
  <c r="L4"/>
  <c r="L12"/>
  <c r="O127" i="12"/>
  <c r="O126"/>
  <c r="L15" i="8" l="1"/>
  <c r="J13"/>
  <c r="L9"/>
  <c r="J11"/>
  <c r="J17"/>
  <c r="J19"/>
  <c r="M19"/>
  <c r="M17"/>
  <c r="M15"/>
  <c r="M13"/>
  <c r="M11"/>
  <c r="M9"/>
  <c r="I47" i="12" l="1"/>
  <c r="J133"/>
  <c r="I165"/>
  <c r="J46"/>
  <c r="O120" s="1"/>
  <c r="I195"/>
  <c r="J138"/>
  <c r="I99"/>
  <c r="I20"/>
  <c r="I17"/>
  <c r="I106"/>
  <c r="N120" l="1"/>
  <c r="H2" i="80"/>
  <c r="F2"/>
  <c r="D2"/>
  <c r="A2"/>
  <c r="A1"/>
  <c r="D39" i="88" l="1"/>
  <c r="D33"/>
  <c r="D32"/>
  <c r="D30"/>
  <c r="D38"/>
  <c r="D37"/>
  <c r="D36"/>
  <c r="F39"/>
  <c r="F29"/>
  <c r="C39"/>
  <c r="C38"/>
  <c r="C37"/>
  <c r="C36"/>
  <c r="C35"/>
  <c r="C34"/>
  <c r="C33"/>
  <c r="C32"/>
  <c r="C31"/>
  <c r="C30"/>
  <c r="C29"/>
  <c r="C28"/>
  <c r="E39"/>
  <c r="E38"/>
  <c r="E37"/>
  <c r="E36"/>
  <c r="E35"/>
  <c r="E34"/>
  <c r="E33"/>
  <c r="E32"/>
  <c r="E31"/>
  <c r="E30"/>
  <c r="E29"/>
  <c r="E28"/>
  <c r="C3" i="93"/>
  <c r="C2"/>
  <c r="C516"/>
  <c r="C135"/>
  <c r="C1107"/>
  <c r="C1111"/>
  <c r="C1113"/>
  <c r="C1110"/>
  <c r="C1116"/>
  <c r="C19"/>
  <c r="C33"/>
  <c r="C351"/>
  <c r="C304"/>
  <c r="C12"/>
  <c r="C894"/>
  <c r="C855"/>
  <c r="C257"/>
  <c r="C10"/>
  <c r="C202"/>
  <c r="C773"/>
  <c r="C87"/>
  <c r="C256"/>
  <c r="C134"/>
  <c r="C32"/>
  <c r="C303"/>
  <c r="C505"/>
  <c r="C503"/>
  <c r="C103"/>
  <c r="C350"/>
  <c r="C122"/>
  <c r="C116"/>
  <c r="C255"/>
  <c r="C133"/>
  <c r="C31"/>
  <c r="C349"/>
  <c r="C829"/>
  <c r="C92"/>
  <c r="C524"/>
  <c r="C523"/>
  <c r="C799"/>
  <c r="C429"/>
  <c r="C302"/>
  <c r="C132"/>
  <c r="C30"/>
  <c r="C254"/>
  <c r="C348"/>
  <c r="C677"/>
  <c r="C428"/>
  <c r="C201"/>
  <c r="C370"/>
  <c r="C301"/>
  <c r="C522"/>
  <c r="C521"/>
  <c r="C131"/>
  <c r="C253"/>
  <c r="C300"/>
  <c r="C29"/>
  <c r="C347"/>
  <c r="C194"/>
  <c r="C299"/>
  <c r="C130"/>
  <c r="C28"/>
  <c r="C252"/>
  <c r="C346"/>
  <c r="C14"/>
  <c r="C91"/>
  <c r="C298"/>
  <c r="C164"/>
  <c r="C520"/>
  <c r="C519"/>
  <c r="C129"/>
  <c r="C27"/>
  <c r="C345"/>
  <c r="C160"/>
  <c r="C297"/>
  <c r="C159"/>
  <c r="C7"/>
  <c r="C128"/>
  <c r="C56"/>
  <c r="C296"/>
  <c r="C138"/>
  <c r="C344"/>
  <c r="C158"/>
  <c r="C518"/>
  <c r="C517"/>
  <c r="C251"/>
  <c r="C102"/>
  <c r="C787"/>
  <c r="C514"/>
  <c r="C191"/>
  <c r="C111"/>
  <c r="C127"/>
  <c r="C55"/>
  <c r="C295"/>
  <c r="C343"/>
  <c r="C386"/>
  <c r="C126"/>
  <c r="C54"/>
  <c r="C342"/>
  <c r="C409"/>
  <c r="C294"/>
  <c r="C381"/>
  <c r="C125"/>
  <c r="C341"/>
  <c r="C53"/>
  <c r="C293"/>
  <c r="C90"/>
  <c r="C124"/>
  <c r="C380"/>
  <c r="C52"/>
  <c r="C340"/>
  <c r="C292"/>
  <c r="C101"/>
  <c r="C732"/>
  <c r="C513"/>
  <c r="C423"/>
  <c r="C761"/>
  <c r="C687"/>
  <c r="C798"/>
  <c r="C51"/>
  <c r="C334"/>
  <c r="C327"/>
  <c r="C115"/>
  <c r="C13"/>
  <c r="C714"/>
  <c r="C374"/>
  <c r="C470"/>
  <c r="C88"/>
  <c r="C797"/>
  <c r="C504"/>
  <c r="C145"/>
  <c r="C286"/>
  <c r="C582"/>
  <c r="C581"/>
  <c r="C580"/>
  <c r="C579"/>
  <c r="C578"/>
  <c r="C577"/>
  <c r="C697"/>
  <c r="C576"/>
  <c r="C575"/>
  <c r="C362"/>
  <c r="C574"/>
  <c r="C573"/>
  <c r="C696"/>
  <c r="C572"/>
  <c r="C571"/>
  <c r="C611"/>
  <c r="C649"/>
  <c r="C853"/>
  <c r="C695"/>
  <c r="C607"/>
  <c r="C570"/>
  <c r="C569"/>
  <c r="C568"/>
  <c r="C567"/>
  <c r="C566"/>
  <c r="C565"/>
  <c r="C207"/>
  <c r="C587"/>
  <c r="C564"/>
  <c r="C563"/>
  <c r="C786"/>
  <c r="C562"/>
  <c r="C561"/>
  <c r="C694"/>
  <c r="C452"/>
  <c r="C560"/>
  <c r="C559"/>
  <c r="C1089"/>
  <c r="C1062"/>
  <c r="C1008"/>
  <c r="C1007"/>
  <c r="C1012"/>
  <c r="C157"/>
  <c r="C1006"/>
  <c r="C789"/>
  <c r="C919"/>
  <c r="C743"/>
  <c r="C832"/>
  <c r="C322"/>
  <c r="C454"/>
  <c r="C404"/>
  <c r="C81"/>
  <c r="C1029"/>
  <c r="C878"/>
  <c r="C209"/>
  <c r="C1005"/>
  <c r="C485"/>
  <c r="C1004"/>
  <c r="C464"/>
  <c r="C1088"/>
  <c r="C1061"/>
  <c r="C1060"/>
  <c r="C1011"/>
  <c r="C1003"/>
  <c r="C156"/>
  <c r="C968"/>
  <c r="C967"/>
  <c r="C966"/>
  <c r="C965"/>
  <c r="C964"/>
  <c r="C963"/>
  <c r="C962"/>
  <c r="C961"/>
  <c r="C970"/>
  <c r="C908"/>
  <c r="C427"/>
  <c r="C676"/>
  <c r="C1002"/>
  <c r="C918"/>
  <c r="C828"/>
  <c r="C722"/>
  <c r="C321"/>
  <c r="C831"/>
  <c r="C461"/>
  <c r="C403"/>
  <c r="C960"/>
  <c r="C959"/>
  <c r="C958"/>
  <c r="C1030"/>
  <c r="C484"/>
  <c r="C906"/>
  <c r="C977"/>
  <c r="C80"/>
  <c r="C1001"/>
  <c r="C1016"/>
  <c r="C449"/>
  <c r="C1059"/>
  <c r="C1058"/>
  <c r="C1087"/>
  <c r="C1000"/>
  <c r="C154"/>
  <c r="C838"/>
  <c r="C926"/>
  <c r="C742"/>
  <c r="C320"/>
  <c r="C453"/>
  <c r="C402"/>
  <c r="C976"/>
  <c r="C892"/>
  <c r="C1028"/>
  <c r="C494"/>
  <c r="C79"/>
  <c r="C999"/>
  <c r="C1020"/>
  <c r="C455"/>
  <c r="C1057"/>
  <c r="C1056"/>
  <c r="C1086"/>
  <c r="C969"/>
  <c r="C998"/>
  <c r="C155"/>
  <c r="C925"/>
  <c r="C730"/>
  <c r="C317"/>
  <c r="C401"/>
  <c r="C444"/>
  <c r="C975"/>
  <c r="C1033"/>
  <c r="C78"/>
  <c r="C474"/>
  <c r="C957"/>
  <c r="C956"/>
  <c r="C815"/>
  <c r="C1018"/>
  <c r="C1055"/>
  <c r="C1054"/>
  <c r="C1085"/>
  <c r="C544"/>
  <c r="C446"/>
  <c r="C840"/>
  <c r="C997"/>
  <c r="C996"/>
  <c r="C995"/>
  <c r="C153"/>
  <c r="C637"/>
  <c r="C994"/>
  <c r="C980"/>
  <c r="C924"/>
  <c r="C955"/>
  <c r="C954"/>
  <c r="C1031"/>
  <c r="C736"/>
  <c r="C77"/>
  <c r="C305"/>
  <c r="C448"/>
  <c r="C993"/>
  <c r="C400"/>
  <c r="C471"/>
  <c r="C979"/>
  <c r="C974"/>
  <c r="C447"/>
  <c r="C1053"/>
  <c r="C953"/>
  <c r="C952"/>
  <c r="C951"/>
  <c r="C950"/>
  <c r="C1052"/>
  <c r="C328"/>
  <c r="C1084"/>
  <c r="C992"/>
  <c r="C949"/>
  <c r="C1015"/>
  <c r="C152"/>
  <c r="C267"/>
  <c r="C469"/>
  <c r="C917"/>
  <c r="C718"/>
  <c r="C316"/>
  <c r="C76"/>
  <c r="C451"/>
  <c r="C85"/>
  <c r="C399"/>
  <c r="C682"/>
  <c r="C973"/>
  <c r="C1032"/>
  <c r="C948"/>
  <c r="C947"/>
  <c r="C472"/>
  <c r="C1051"/>
  <c r="C438"/>
  <c r="C930"/>
  <c r="C1050"/>
  <c r="C1083"/>
  <c r="C859"/>
  <c r="C390"/>
  <c r="C991"/>
  <c r="C1013"/>
  <c r="C142"/>
  <c r="C1009"/>
  <c r="C499"/>
  <c r="C972"/>
  <c r="C922"/>
  <c r="C612"/>
  <c r="C75"/>
  <c r="C735"/>
  <c r="C315"/>
  <c r="C552"/>
  <c r="C946"/>
  <c r="C945"/>
  <c r="C1035"/>
  <c r="C944"/>
  <c r="C943"/>
  <c r="C942"/>
  <c r="C407"/>
  <c r="C398"/>
  <c r="C990"/>
  <c r="C265"/>
  <c r="C456"/>
  <c r="C971"/>
  <c r="C1019"/>
  <c r="C1082"/>
  <c r="C1081"/>
  <c r="C433"/>
  <c r="C891"/>
  <c r="C941"/>
  <c r="C927"/>
  <c r="C940"/>
  <c r="C939"/>
  <c r="C989"/>
  <c r="C804"/>
  <c r="C276"/>
  <c r="C147"/>
  <c r="C826"/>
  <c r="C6"/>
  <c r="C916"/>
  <c r="C465"/>
  <c r="C936"/>
  <c r="C890"/>
  <c r="C554"/>
  <c r="C847"/>
  <c r="C724"/>
  <c r="C1037"/>
  <c r="C313"/>
  <c r="C74"/>
  <c r="C306"/>
  <c r="C473"/>
  <c r="C396"/>
  <c r="C988"/>
  <c r="C462"/>
  <c r="C689"/>
  <c r="C923"/>
  <c r="C814"/>
  <c r="C825"/>
  <c r="C1017"/>
  <c r="C987"/>
  <c r="C445"/>
  <c r="C1080"/>
  <c r="C986"/>
  <c r="C1079"/>
  <c r="C151"/>
  <c r="C935"/>
  <c r="C921"/>
  <c r="C938"/>
  <c r="C715"/>
  <c r="C4"/>
  <c r="C813"/>
  <c r="C312"/>
  <c r="C73"/>
  <c r="C1038"/>
  <c r="C486"/>
  <c r="C395"/>
  <c r="C899"/>
  <c r="C911"/>
  <c r="C459"/>
  <c r="C1014"/>
  <c r="C929"/>
  <c r="C985"/>
  <c r="C435"/>
  <c r="C1078"/>
  <c r="C1077"/>
  <c r="C148"/>
  <c r="C793"/>
  <c r="C656"/>
  <c r="C934"/>
  <c r="C861"/>
  <c r="C920"/>
  <c r="C839"/>
  <c r="C149"/>
  <c r="C139"/>
  <c r="C713"/>
  <c r="C311"/>
  <c r="C72"/>
  <c r="C357"/>
  <c r="C1040"/>
  <c r="C493"/>
  <c r="C393"/>
  <c r="C870"/>
  <c r="C910"/>
  <c r="C439"/>
  <c r="C1021"/>
  <c r="C984"/>
  <c r="C1076"/>
  <c r="C1075"/>
  <c r="C434"/>
  <c r="C144"/>
  <c r="C931"/>
  <c r="C508"/>
  <c r="C812"/>
  <c r="C933"/>
  <c r="C915"/>
  <c r="C416"/>
  <c r="C1034"/>
  <c r="C507"/>
  <c r="C71"/>
  <c r="C506"/>
  <c r="C415"/>
  <c r="C726"/>
  <c r="C291"/>
  <c r="C491"/>
  <c r="C392"/>
  <c r="C907"/>
  <c r="C889"/>
  <c r="C460"/>
  <c r="C909"/>
  <c r="C983"/>
  <c r="C644"/>
  <c r="C431"/>
  <c r="C982"/>
  <c r="C1074"/>
  <c r="C1073"/>
  <c r="C1027"/>
  <c r="C143"/>
  <c r="C914"/>
  <c r="C978"/>
  <c r="C1042"/>
  <c r="C70"/>
  <c r="C888"/>
  <c r="C887"/>
  <c r="C886"/>
  <c r="C476"/>
  <c r="C725"/>
  <c r="C885"/>
  <c r="C884"/>
  <c r="C823"/>
  <c r="C883"/>
  <c r="C310"/>
  <c r="C770"/>
  <c r="C495"/>
  <c r="C541"/>
  <c r="C932"/>
  <c r="C860"/>
  <c r="C412"/>
  <c r="C913"/>
  <c r="C895"/>
  <c r="C535"/>
  <c r="C558"/>
  <c r="C673"/>
  <c r="C902"/>
  <c r="C843"/>
  <c r="C630"/>
  <c r="C937"/>
  <c r="C901"/>
  <c r="C869"/>
  <c r="C900"/>
  <c r="C483"/>
  <c r="C482"/>
  <c r="C527"/>
  <c r="C526"/>
  <c r="C852"/>
  <c r="C858"/>
  <c r="C857"/>
  <c r="C836"/>
  <c r="C672"/>
  <c r="C842"/>
  <c r="C851"/>
  <c r="C850"/>
  <c r="C868"/>
  <c r="C905"/>
  <c r="C898"/>
  <c r="C867"/>
  <c r="C866"/>
  <c r="C686"/>
  <c r="C671"/>
  <c r="C849"/>
  <c r="C846"/>
  <c r="C904"/>
  <c r="C827"/>
  <c r="C897"/>
  <c r="C468"/>
  <c r="C481"/>
  <c r="C480"/>
  <c r="C749"/>
  <c r="C865"/>
  <c r="C903"/>
  <c r="C880"/>
  <c r="C879"/>
  <c r="C670"/>
  <c r="C557"/>
  <c r="C606"/>
  <c r="C669"/>
  <c r="C668"/>
  <c r="C667"/>
  <c r="C629"/>
  <c r="C605"/>
  <c r="C546"/>
  <c r="C604"/>
  <c r="C864"/>
  <c r="C466"/>
  <c r="C383"/>
  <c r="C822"/>
  <c r="C896"/>
  <c r="C666"/>
  <c r="C556"/>
  <c r="C512"/>
  <c r="C437"/>
  <c r="C601"/>
  <c r="C181"/>
  <c r="C196"/>
  <c r="C141"/>
  <c r="C600"/>
  <c r="C187"/>
  <c r="C235"/>
  <c r="C1094"/>
  <c r="C213"/>
  <c r="C599"/>
  <c r="C185"/>
  <c r="C198"/>
  <c r="C1096"/>
  <c r="C1098"/>
  <c r="C598"/>
  <c r="C183"/>
  <c r="C230"/>
  <c r="C430"/>
  <c r="C234"/>
  <c r="C171"/>
  <c r="C597"/>
  <c r="C186"/>
  <c r="C173"/>
  <c r="C1095"/>
  <c r="C1026"/>
  <c r="C596"/>
  <c r="C170"/>
  <c r="C1070"/>
  <c r="C233"/>
  <c r="C1025"/>
  <c r="C1100"/>
  <c r="C166"/>
  <c r="C595"/>
  <c r="C1072"/>
  <c r="C1024"/>
  <c r="C1102"/>
  <c r="C215"/>
  <c r="C1023"/>
  <c r="C594"/>
  <c r="C169"/>
  <c r="C1101"/>
  <c r="C1091"/>
  <c r="C192"/>
  <c r="C593"/>
  <c r="C179"/>
  <c r="C195"/>
  <c r="C1099"/>
  <c r="C1090"/>
  <c r="C1022"/>
  <c r="C592"/>
  <c r="C184"/>
  <c r="C228"/>
  <c r="C1097"/>
  <c r="C1071"/>
  <c r="C591"/>
  <c r="C174"/>
  <c r="C413"/>
  <c r="C243"/>
  <c r="C1104"/>
  <c r="C590"/>
  <c r="C146"/>
  <c r="C355"/>
  <c r="C239"/>
  <c r="C260"/>
  <c r="C136"/>
  <c r="C177"/>
  <c r="C220"/>
  <c r="C259"/>
  <c r="C180"/>
  <c r="C1069"/>
  <c r="C1068"/>
  <c r="C1067"/>
  <c r="C168"/>
  <c r="C223"/>
  <c r="C273"/>
  <c r="C82"/>
  <c r="C755"/>
  <c r="C540"/>
  <c r="C175"/>
  <c r="C229"/>
  <c r="C282"/>
  <c r="C1048"/>
  <c r="C1047"/>
  <c r="C1046"/>
  <c r="C98"/>
  <c r="C263"/>
  <c r="C197"/>
  <c r="C114"/>
  <c r="C99"/>
  <c r="C189"/>
  <c r="C262"/>
  <c r="C1041"/>
  <c r="C1036"/>
  <c r="C1049"/>
  <c r="C274"/>
  <c r="C121"/>
  <c r="C232"/>
  <c r="C106"/>
  <c r="C808"/>
  <c r="C275"/>
  <c r="C163"/>
  <c r="C309"/>
  <c r="C218"/>
  <c r="C1103"/>
  <c r="C1063"/>
  <c r="C165"/>
  <c r="C270"/>
  <c r="C86"/>
  <c r="C208"/>
  <c r="C137"/>
  <c r="C150"/>
  <c r="C268"/>
  <c r="C172"/>
  <c r="C118"/>
  <c r="C1092"/>
  <c r="C1065"/>
  <c r="C120"/>
  <c r="C84"/>
  <c r="C266"/>
  <c r="C110"/>
  <c r="C89"/>
  <c r="C244"/>
  <c r="C97"/>
  <c r="C93"/>
  <c r="C216"/>
  <c r="C104"/>
  <c r="C1093"/>
  <c r="C1066"/>
  <c r="C95"/>
  <c r="C182"/>
  <c r="C241"/>
  <c r="C83"/>
  <c r="C271"/>
  <c r="C261"/>
  <c r="C107"/>
  <c r="C1119"/>
  <c r="C68"/>
  <c r="C67"/>
  <c r="C66"/>
  <c r="C65"/>
  <c r="C64"/>
  <c r="C63"/>
  <c r="C62"/>
  <c r="C61"/>
  <c r="C60"/>
  <c r="C59"/>
  <c r="C219"/>
  <c r="C58"/>
  <c r="C57"/>
  <c r="C204"/>
  <c r="C203"/>
  <c r="C37"/>
  <c r="C105"/>
  <c r="C5"/>
  <c r="C325"/>
  <c r="C199"/>
  <c r="C238"/>
  <c r="C8"/>
  <c r="C205"/>
  <c r="C108"/>
  <c r="C533"/>
  <c r="C877"/>
  <c r="C710"/>
  <c r="C693"/>
  <c r="C820"/>
  <c r="C589"/>
  <c r="C680"/>
  <c r="C551"/>
  <c r="C841"/>
  <c r="C775"/>
  <c r="C863"/>
  <c r="C702"/>
  <c r="C640"/>
  <c r="C617"/>
  <c r="C653"/>
  <c r="C586"/>
  <c r="C528"/>
  <c r="C830"/>
  <c r="C603"/>
  <c r="C701"/>
  <c r="C652"/>
  <c r="C679"/>
  <c r="C602"/>
  <c r="C740"/>
  <c r="C549"/>
  <c r="C739"/>
  <c r="C748"/>
  <c r="C685"/>
  <c r="C777"/>
  <c r="C698"/>
  <c r="C716"/>
  <c r="C752"/>
  <c r="C806"/>
  <c r="C783"/>
  <c r="C731"/>
  <c r="C700"/>
  <c r="C648"/>
  <c r="C759"/>
  <c r="C785"/>
  <c r="C719"/>
  <c r="C529"/>
  <c r="C747"/>
  <c r="C893"/>
  <c r="C796"/>
  <c r="C665"/>
  <c r="C664"/>
  <c r="C663"/>
  <c r="C662"/>
  <c r="C422"/>
  <c r="C845"/>
  <c r="C876"/>
  <c r="C875"/>
  <c r="C502"/>
  <c r="C805"/>
  <c r="C421"/>
  <c r="C1045"/>
  <c r="C511"/>
  <c r="C176"/>
  <c r="C193"/>
  <c r="C359"/>
  <c r="C834"/>
  <c r="C212"/>
  <c r="C358"/>
  <c r="C443"/>
  <c r="C467"/>
  <c r="C729"/>
  <c r="C639"/>
  <c r="C69"/>
  <c r="C96"/>
  <c r="C928"/>
  <c r="C912"/>
  <c r="C811"/>
  <c r="C882"/>
  <c r="C795"/>
  <c r="C492"/>
  <c r="C881"/>
  <c r="C762"/>
  <c r="C501"/>
  <c r="C248"/>
  <c r="C167"/>
  <c r="C247"/>
  <c r="C661"/>
  <c r="C246"/>
  <c r="C420"/>
  <c r="C35"/>
  <c r="C1109"/>
  <c r="C245"/>
  <c r="C628"/>
  <c r="C1064"/>
  <c r="C981"/>
  <c r="C140"/>
  <c r="C161"/>
  <c r="C536"/>
  <c r="C224"/>
  <c r="C34"/>
  <c r="C800"/>
  <c r="C406"/>
  <c r="C1106"/>
  <c r="C1115"/>
  <c r="C426"/>
  <c r="C23"/>
  <c r="C1044"/>
  <c r="C354"/>
  <c r="C1114"/>
  <c r="C332"/>
  <c r="C627"/>
  <c r="C18"/>
  <c r="C613"/>
  <c r="C625"/>
  <c r="C15"/>
  <c r="C425"/>
  <c r="C188"/>
  <c r="C307"/>
  <c r="C537"/>
  <c r="C555"/>
  <c r="C367"/>
  <c r="C227"/>
  <c r="C36"/>
  <c r="C794"/>
  <c r="C221"/>
  <c r="C745"/>
  <c r="C17"/>
  <c r="C418"/>
  <c r="C26"/>
  <c r="C515"/>
  <c r="C272"/>
  <c r="C500"/>
  <c r="C871"/>
  <c r="C387"/>
  <c r="C178"/>
  <c r="C477"/>
  <c r="C25"/>
  <c r="C1118"/>
  <c r="C22"/>
  <c r="C287"/>
  <c r="C21"/>
  <c r="C651"/>
  <c r="C1105"/>
  <c r="C1108"/>
  <c r="C20"/>
  <c r="C678"/>
  <c r="C388"/>
  <c r="C441"/>
  <c r="C210"/>
  <c r="C24"/>
  <c r="C123"/>
  <c r="C113"/>
  <c r="C38"/>
  <c r="C16"/>
  <c r="C475"/>
  <c r="C331"/>
  <c r="C619"/>
  <c r="C660"/>
  <c r="C583"/>
  <c r="C389"/>
  <c r="C638"/>
  <c r="C408"/>
  <c r="C352"/>
  <c r="C11"/>
  <c r="C405"/>
  <c r="C9"/>
  <c r="C49"/>
  <c r="C48"/>
  <c r="C47"/>
  <c r="C46"/>
  <c r="C45"/>
  <c r="C50"/>
  <c r="C44"/>
  <c r="C43"/>
  <c r="C42"/>
  <c r="C41"/>
  <c r="C40"/>
  <c r="C39"/>
  <c r="C1120"/>
  <c r="C750"/>
  <c r="C688"/>
  <c r="C723"/>
  <c r="C490"/>
  <c r="C835"/>
  <c r="C854"/>
  <c r="C641"/>
  <c r="C760"/>
  <c r="C385"/>
  <c r="C721"/>
  <c r="C690"/>
  <c r="C615"/>
  <c r="C329"/>
  <c r="C708"/>
  <c r="C792"/>
  <c r="C542"/>
  <c r="C458"/>
  <c r="C489"/>
  <c r="C711"/>
  <c r="C704"/>
  <c r="C633"/>
  <c r="C776"/>
  <c r="C319"/>
  <c r="C1112"/>
  <c r="C782"/>
  <c r="C856"/>
  <c r="C848"/>
  <c r="C717"/>
  <c r="C283"/>
  <c r="C279"/>
  <c r="C450"/>
  <c r="C781"/>
  <c r="C547"/>
  <c r="C772"/>
  <c r="C608"/>
  <c r="C764"/>
  <c r="C763"/>
  <c r="C769"/>
  <c r="C766"/>
  <c r="C365"/>
  <c r="C318"/>
  <c r="C705"/>
  <c r="C411"/>
  <c r="C550"/>
  <c r="C432"/>
  <c r="C803"/>
  <c r="C802"/>
  <c r="C1039"/>
  <c r="C632"/>
  <c r="C683"/>
  <c r="C720"/>
  <c r="C323"/>
  <c r="C809"/>
  <c r="C817"/>
  <c r="C821"/>
  <c r="C754"/>
  <c r="C584"/>
  <c r="C758"/>
  <c r="C457"/>
  <c r="C538"/>
  <c r="C681"/>
  <c r="C371"/>
  <c r="C620"/>
  <c r="C738"/>
  <c r="C791"/>
  <c r="C801"/>
  <c r="C780"/>
  <c r="C753"/>
  <c r="C684"/>
  <c r="C498"/>
  <c r="C707"/>
  <c r="C768"/>
  <c r="C378"/>
  <c r="C765"/>
  <c r="C788"/>
  <c r="C756"/>
  <c r="C497"/>
  <c r="C790"/>
  <c r="C774"/>
  <c r="C737"/>
  <c r="C779"/>
  <c r="C1043"/>
  <c r="C675"/>
  <c r="C674"/>
  <c r="C631"/>
  <c r="C650"/>
  <c r="C377"/>
  <c r="C539"/>
  <c r="C784"/>
  <c r="C654"/>
  <c r="C288"/>
  <c r="C391"/>
  <c r="C372"/>
  <c r="C333"/>
  <c r="C363"/>
  <c r="C531"/>
  <c r="C588"/>
  <c r="C280"/>
  <c r="C692"/>
  <c r="C614"/>
  <c r="C657"/>
  <c r="C258"/>
  <c r="C487"/>
  <c r="C368"/>
  <c r="C616"/>
  <c r="C862"/>
  <c r="C384"/>
  <c r="C699"/>
  <c r="C543"/>
  <c r="C626"/>
  <c r="C548"/>
  <c r="C767"/>
  <c r="C810"/>
  <c r="C751"/>
  <c r="C647"/>
  <c r="C709"/>
  <c r="C819"/>
  <c r="C728"/>
  <c r="C361"/>
  <c r="C373"/>
  <c r="C308"/>
  <c r="C410"/>
  <c r="C211"/>
  <c r="C382"/>
  <c r="C734"/>
  <c r="C379"/>
  <c r="C530"/>
  <c r="C532"/>
  <c r="C643"/>
  <c r="C162"/>
  <c r="C778"/>
  <c r="C636"/>
  <c r="C757"/>
  <c r="C727"/>
  <c r="C844"/>
  <c r="C330"/>
  <c r="C706"/>
  <c r="C618"/>
  <c r="C642"/>
  <c r="C250"/>
  <c r="C364"/>
  <c r="C200"/>
  <c r="C424"/>
  <c r="C339"/>
  <c r="C360"/>
  <c r="C289"/>
  <c r="C237"/>
  <c r="C337"/>
  <c r="C226"/>
  <c r="C816"/>
  <c r="C277"/>
  <c r="C746"/>
  <c r="C269"/>
  <c r="C231"/>
  <c r="C222"/>
  <c r="C874"/>
  <c r="C873"/>
  <c r="C479"/>
  <c r="C336"/>
  <c r="C264"/>
  <c r="C488"/>
  <c r="C242"/>
  <c r="C419"/>
  <c r="C376"/>
  <c r="C335"/>
  <c r="C112"/>
  <c r="C585"/>
  <c r="C326"/>
  <c r="C1117"/>
  <c r="C314"/>
  <c r="C117"/>
  <c r="C338"/>
  <c r="C278"/>
  <c r="C744"/>
  <c r="C225"/>
  <c r="C214"/>
  <c r="C610"/>
  <c r="C525"/>
  <c r="C442"/>
  <c r="C436"/>
  <c r="C240"/>
  <c r="C217"/>
  <c r="C324"/>
  <c r="C509"/>
  <c r="C691"/>
  <c r="C417"/>
  <c r="C733"/>
  <c r="C646"/>
  <c r="C872"/>
  <c r="C545"/>
  <c r="C284"/>
  <c r="C249"/>
  <c r="C496"/>
  <c r="C818"/>
  <c r="C703"/>
  <c r="C833"/>
  <c r="C807"/>
  <c r="C478"/>
  <c r="C645"/>
  <c r="C655"/>
  <c r="C375"/>
  <c r="C824"/>
  <c r="C837"/>
  <c r="C534"/>
  <c r="C553"/>
  <c r="C741"/>
  <c r="C609"/>
  <c r="C281"/>
  <c r="C394"/>
  <c r="C622"/>
  <c r="C712"/>
  <c r="C236"/>
  <c r="C285"/>
  <c r="C366"/>
  <c r="C624"/>
  <c r="C190"/>
  <c r="C771"/>
  <c r="C635"/>
  <c r="C290"/>
  <c r="C623"/>
  <c r="C1010"/>
  <c r="C463"/>
  <c r="C94"/>
  <c r="C100"/>
  <c r="C206"/>
  <c r="C414"/>
  <c r="C369"/>
  <c r="C109"/>
  <c r="C510"/>
  <c r="C659"/>
  <c r="C634"/>
  <c r="C353"/>
  <c r="C658"/>
  <c r="C119"/>
  <c r="C356"/>
  <c r="C440"/>
  <c r="C621"/>
  <c r="C397"/>
  <c r="N11" i="86"/>
  <c r="J12" i="87"/>
  <c r="K12" s="1"/>
  <c r="J13"/>
  <c r="K13" s="1"/>
  <c r="J11"/>
  <c r="K11" s="1"/>
  <c r="G29" i="88" l="1"/>
  <c r="G31"/>
  <c r="G33"/>
  <c r="G35"/>
  <c r="G37"/>
  <c r="G39"/>
  <c r="G28"/>
  <c r="G32"/>
  <c r="G34"/>
  <c r="G36"/>
  <c r="G38"/>
  <c r="G30"/>
  <c r="F40"/>
  <c r="N84" i="83" l="1"/>
  <c r="Q84" s="1"/>
  <c r="N85"/>
  <c r="Q85" s="1"/>
  <c r="N86"/>
  <c r="Q86" s="1"/>
  <c r="N87"/>
  <c r="Q87" s="1"/>
  <c r="N88"/>
  <c r="Q88" s="1"/>
  <c r="N89"/>
  <c r="Q89" s="1"/>
  <c r="N90"/>
  <c r="Q90" s="1"/>
  <c r="N91"/>
  <c r="Q91" s="1"/>
  <c r="N92"/>
  <c r="Q92" s="1"/>
  <c r="N93"/>
  <c r="Q93" s="1"/>
  <c r="N94"/>
  <c r="Q94" s="1"/>
  <c r="N95"/>
  <c r="Q95" s="1"/>
  <c r="N96"/>
  <c r="Q96" s="1"/>
  <c r="N97"/>
  <c r="Q97" s="1"/>
  <c r="N98"/>
  <c r="Q98" s="1"/>
  <c r="N99"/>
  <c r="Q99" s="1"/>
  <c r="N100"/>
  <c r="Q100" s="1"/>
  <c r="N101"/>
  <c r="Q101" s="1"/>
  <c r="N102"/>
  <c r="Q102" s="1"/>
  <c r="N103"/>
  <c r="Q103" s="1"/>
  <c r="N104"/>
  <c r="Q104" s="1"/>
  <c r="N105"/>
  <c r="Q105" s="1"/>
  <c r="N106"/>
  <c r="Q106" s="1"/>
  <c r="N107"/>
  <c r="Q107" s="1"/>
  <c r="N83"/>
  <c r="Q83" s="1"/>
  <c r="E14" i="84"/>
  <c r="C17" s="1"/>
  <c r="J2" i="86" l="1"/>
  <c r="H2"/>
  <c r="J2" i="87"/>
  <c r="H2"/>
  <c r="A1"/>
  <c r="C1120" i="91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E40" i="88"/>
  <c r="C40"/>
  <c r="D23"/>
  <c r="C23"/>
  <c r="E22"/>
  <c r="E21"/>
  <c r="E20"/>
  <c r="E19"/>
  <c r="E18"/>
  <c r="E17"/>
  <c r="E16"/>
  <c r="E15"/>
  <c r="E14"/>
  <c r="E13"/>
  <c r="E12"/>
  <c r="E11"/>
  <c r="J2" i="89"/>
  <c r="H2"/>
  <c r="A1"/>
  <c r="J2" i="90"/>
  <c r="H2"/>
  <c r="A1"/>
  <c r="J2" i="88"/>
  <c r="H2"/>
  <c r="A1"/>
  <c r="E23" l="1"/>
  <c r="H30"/>
  <c r="H31"/>
  <c r="H32"/>
  <c r="H34"/>
  <c r="H36"/>
  <c r="H38"/>
  <c r="H29"/>
  <c r="H33"/>
  <c r="H35"/>
  <c r="H37"/>
  <c r="H39"/>
  <c r="G40" l="1"/>
  <c r="H28"/>
  <c r="H40" s="1"/>
  <c r="O12" i="86" l="1"/>
  <c r="O13"/>
  <c r="O14"/>
  <c r="O15"/>
  <c r="O16"/>
  <c r="O17"/>
  <c r="O18"/>
  <c r="O19"/>
  <c r="O20"/>
  <c r="O21"/>
  <c r="O22"/>
  <c r="O11"/>
  <c r="P11" s="1"/>
  <c r="N12"/>
  <c r="N13"/>
  <c r="N14"/>
  <c r="N15"/>
  <c r="N16"/>
  <c r="N17"/>
  <c r="N18"/>
  <c r="N19"/>
  <c r="N20"/>
  <c r="N21"/>
  <c r="N22"/>
  <c r="D6" i="83"/>
  <c r="H53" i="5"/>
  <c r="D52"/>
  <c r="H52"/>
  <c r="O83" i="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M122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23"/>
  <c r="M11"/>
  <c r="N11" s="1"/>
  <c r="M12"/>
  <c r="N12" s="1"/>
  <c r="M13"/>
  <c r="N13" s="1"/>
  <c r="M14"/>
  <c r="N14" s="1"/>
  <c r="M15"/>
  <c r="N15" s="1"/>
  <c r="M16"/>
  <c r="N16" s="1"/>
  <c r="M17"/>
  <c r="N17" s="1"/>
  <c r="M18"/>
  <c r="N18" s="1"/>
  <c r="M10"/>
  <c r="N10" s="1"/>
  <c r="C7"/>
  <c r="N76" s="1"/>
  <c r="Q76" s="1"/>
  <c r="O18" l="1"/>
  <c r="R18"/>
  <c r="O16"/>
  <c r="R16"/>
  <c r="O14"/>
  <c r="R14"/>
  <c r="R10"/>
  <c r="O10"/>
  <c r="O17"/>
  <c r="R17"/>
  <c r="O15"/>
  <c r="R15"/>
  <c r="O13"/>
  <c r="R13"/>
  <c r="O11"/>
  <c r="R11"/>
  <c r="O12"/>
  <c r="R12"/>
  <c r="N109"/>
  <c r="N111"/>
  <c r="N113"/>
  <c r="N115"/>
  <c r="N117"/>
  <c r="N119"/>
  <c r="N108"/>
  <c r="N110"/>
  <c r="N112"/>
  <c r="N114"/>
  <c r="N116"/>
  <c r="N118"/>
  <c r="N80"/>
  <c r="N72"/>
  <c r="N68"/>
  <c r="N64"/>
  <c r="N60"/>
  <c r="N56"/>
  <c r="N53"/>
  <c r="N51"/>
  <c r="N49"/>
  <c r="N47"/>
  <c r="N45"/>
  <c r="N43"/>
  <c r="N41"/>
  <c r="N39"/>
  <c r="N37"/>
  <c r="N35"/>
  <c r="N33"/>
  <c r="N31"/>
  <c r="N29"/>
  <c r="N27"/>
  <c r="N25"/>
  <c r="N82"/>
  <c r="N78"/>
  <c r="N74"/>
  <c r="N70"/>
  <c r="N66"/>
  <c r="N62"/>
  <c r="N58"/>
  <c r="N54"/>
  <c r="N52"/>
  <c r="N50"/>
  <c r="N48"/>
  <c r="N46"/>
  <c r="N44"/>
  <c r="N42"/>
  <c r="N40"/>
  <c r="N38"/>
  <c r="N36"/>
  <c r="N34"/>
  <c r="N32"/>
  <c r="N30"/>
  <c r="N28"/>
  <c r="N26"/>
  <c r="N24"/>
  <c r="N23"/>
  <c r="O76"/>
  <c r="D53" i="5"/>
  <c r="N81" i="83"/>
  <c r="N79"/>
  <c r="N77"/>
  <c r="N75"/>
  <c r="N73"/>
  <c r="N71"/>
  <c r="N69"/>
  <c r="N67"/>
  <c r="N65"/>
  <c r="N63"/>
  <c r="N61"/>
  <c r="N59"/>
  <c r="N57"/>
  <c r="N55"/>
  <c r="N122"/>
  <c r="P22" i="86"/>
  <c r="Q22" s="1"/>
  <c r="P20"/>
  <c r="Q20" s="1"/>
  <c r="P18"/>
  <c r="Q18" s="1"/>
  <c r="P16"/>
  <c r="Q16" s="1"/>
  <c r="P14"/>
  <c r="Q14" s="1"/>
  <c r="P12"/>
  <c r="Q12" s="1"/>
  <c r="Q11"/>
  <c r="P21"/>
  <c r="Q21" s="1"/>
  <c r="P19"/>
  <c r="Q19" s="1"/>
  <c r="P17"/>
  <c r="Q17" s="1"/>
  <c r="P15"/>
  <c r="Q15" s="1"/>
  <c r="P13"/>
  <c r="Q13" s="1"/>
  <c r="O19" i="83"/>
  <c r="O122" l="1"/>
  <c r="Q122"/>
  <c r="Q55"/>
  <c r="O55"/>
  <c r="Q59"/>
  <c r="O59"/>
  <c r="Q63"/>
  <c r="O63"/>
  <c r="Q67"/>
  <c r="O67"/>
  <c r="Q71"/>
  <c r="O71"/>
  <c r="Q75"/>
  <c r="O75"/>
  <c r="Q79"/>
  <c r="O79"/>
  <c r="Q23"/>
  <c r="O23"/>
  <c r="Q26"/>
  <c r="O26"/>
  <c r="Q30"/>
  <c r="O30"/>
  <c r="Q34"/>
  <c r="O34"/>
  <c r="Q38"/>
  <c r="O38"/>
  <c r="Q42"/>
  <c r="O42"/>
  <c r="Q46"/>
  <c r="O46"/>
  <c r="Q50"/>
  <c r="O50"/>
  <c r="Q54"/>
  <c r="O54"/>
  <c r="Q62"/>
  <c r="O62"/>
  <c r="Q70"/>
  <c r="O70"/>
  <c r="Q78"/>
  <c r="O78"/>
  <c r="Q25"/>
  <c r="O25"/>
  <c r="Q29"/>
  <c r="O29"/>
  <c r="Q33"/>
  <c r="O33"/>
  <c r="Q37"/>
  <c r="O37"/>
  <c r="Q41"/>
  <c r="O41"/>
  <c r="Q45"/>
  <c r="O45"/>
  <c r="Q49"/>
  <c r="O49"/>
  <c r="Q53"/>
  <c r="O53"/>
  <c r="Q60"/>
  <c r="O60"/>
  <c r="Q68"/>
  <c r="O68"/>
  <c r="Q80"/>
  <c r="O80"/>
  <c r="Q116"/>
  <c r="O116"/>
  <c r="Q112"/>
  <c r="O112"/>
  <c r="Q108"/>
  <c r="O108"/>
  <c r="Q117"/>
  <c r="O117"/>
  <c r="Q113"/>
  <c r="O113"/>
  <c r="Q109"/>
  <c r="O109"/>
  <c r="F130"/>
  <c r="J130" s="1"/>
  <c r="Q57"/>
  <c r="O57"/>
  <c r="Q61"/>
  <c r="O61"/>
  <c r="Q65"/>
  <c r="O65"/>
  <c r="Q69"/>
  <c r="O69"/>
  <c r="Q73"/>
  <c r="O73"/>
  <c r="Q77"/>
  <c r="O77"/>
  <c r="Q81"/>
  <c r="O81"/>
  <c r="Q24"/>
  <c r="O24"/>
  <c r="Q28"/>
  <c r="O28"/>
  <c r="Q32"/>
  <c r="O32"/>
  <c r="Q36"/>
  <c r="O36"/>
  <c r="Q40"/>
  <c r="O40"/>
  <c r="Q44"/>
  <c r="O44"/>
  <c r="Q48"/>
  <c r="O48"/>
  <c r="Q52"/>
  <c r="O52"/>
  <c r="Q58"/>
  <c r="O58"/>
  <c r="Q66"/>
  <c r="O66"/>
  <c r="Q74"/>
  <c r="O74"/>
  <c r="Q82"/>
  <c r="O82"/>
  <c r="Q27"/>
  <c r="O27"/>
  <c r="Q31"/>
  <c r="O31"/>
  <c r="Q35"/>
  <c r="O35"/>
  <c r="Q39"/>
  <c r="O39"/>
  <c r="Q43"/>
  <c r="O43"/>
  <c r="Q47"/>
  <c r="O47"/>
  <c r="Q51"/>
  <c r="O51"/>
  <c r="Q56"/>
  <c r="O56"/>
  <c r="Q64"/>
  <c r="O64"/>
  <c r="Q72"/>
  <c r="O72"/>
  <c r="Q118"/>
  <c r="O118"/>
  <c r="Q114"/>
  <c r="O114"/>
  <c r="Q110"/>
  <c r="O110"/>
  <c r="Q119"/>
  <c r="O119"/>
  <c r="Q115"/>
  <c r="O115"/>
  <c r="Q111"/>
  <c r="O111"/>
  <c r="Q23" i="86"/>
  <c r="Q24" s="1"/>
  <c r="P23"/>
  <c r="R24" l="1"/>
  <c r="O125" i="83"/>
  <c r="A1" i="86"/>
  <c r="F46" i="82"/>
  <c r="F45"/>
  <c r="F81" i="79"/>
  <c r="E81"/>
  <c r="G80"/>
  <c r="G81" s="1"/>
  <c r="F76"/>
  <c r="E76"/>
  <c r="G75"/>
  <c r="G74"/>
  <c r="G73"/>
  <c r="G72"/>
  <c r="F69"/>
  <c r="E69"/>
  <c r="G68"/>
  <c r="G67"/>
  <c r="G66"/>
  <c r="G65"/>
  <c r="G64"/>
  <c r="G63"/>
  <c r="G62"/>
  <c r="G61"/>
  <c r="G60"/>
  <c r="G59"/>
  <c r="G58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10"/>
  <c r="G11"/>
  <c r="G12"/>
  <c r="G13"/>
  <c r="G14"/>
  <c r="G15"/>
  <c r="G16"/>
  <c r="G17"/>
  <c r="G18"/>
  <c r="G19"/>
  <c r="G20"/>
  <c r="G52"/>
  <c r="G53"/>
  <c r="A3"/>
  <c r="I2"/>
  <c r="G2"/>
  <c r="E2"/>
  <c r="A1"/>
  <c r="F55"/>
  <c r="E55"/>
  <c r="G54"/>
  <c r="G9"/>
  <c r="G8"/>
  <c r="I2" i="84"/>
  <c r="G2"/>
  <c r="K2" i="83"/>
  <c r="I2"/>
  <c r="I2" i="82"/>
  <c r="G2"/>
  <c r="A1" i="84"/>
  <c r="A1" i="83"/>
  <c r="A1" i="82"/>
  <c r="G2" i="83"/>
  <c r="G47" i="82"/>
  <c r="D46"/>
  <c r="E45"/>
  <c r="E47" s="1"/>
  <c r="D45"/>
  <c r="F47"/>
  <c r="D44"/>
  <c r="E40"/>
  <c r="D40"/>
  <c r="F34"/>
  <c r="E34"/>
  <c r="D34"/>
  <c r="C16" i="84" s="1"/>
  <c r="C18" s="1"/>
  <c r="F21" i="82"/>
  <c r="E21"/>
  <c r="F14"/>
  <c r="E14"/>
  <c r="D47" l="1"/>
  <c r="G76" i="79"/>
  <c r="G69"/>
  <c r="G55"/>
  <c r="G209" i="12" l="1"/>
  <c r="G208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K183" s="1"/>
  <c r="G184"/>
  <c r="K184" s="1"/>
  <c r="G185"/>
  <c r="K185" s="1"/>
  <c r="G186"/>
  <c r="K186" s="1"/>
  <c r="G187"/>
  <c r="K187" s="1"/>
  <c r="G188"/>
  <c r="K188" s="1"/>
  <c r="G189"/>
  <c r="K189" s="1"/>
  <c r="G190"/>
  <c r="K190" s="1"/>
  <c r="G191"/>
  <c r="K191" s="1"/>
  <c r="G192"/>
  <c r="K192" s="1"/>
  <c r="G193"/>
  <c r="D25" i="82" s="1"/>
  <c r="E25" s="1"/>
  <c r="G194" i="12"/>
  <c r="K194" s="1"/>
  <c r="G195"/>
  <c r="K195" s="1"/>
  <c r="G196"/>
  <c r="K196" s="1"/>
  <c r="G197"/>
  <c r="G162"/>
  <c r="G132"/>
  <c r="G133"/>
  <c r="K133" s="1"/>
  <c r="G134"/>
  <c r="K134" s="1"/>
  <c r="G135"/>
  <c r="K135" s="1"/>
  <c r="O135" s="1"/>
  <c r="G136"/>
  <c r="K136" s="1"/>
  <c r="O136" s="1"/>
  <c r="G137"/>
  <c r="K137" s="1"/>
  <c r="O137" s="1"/>
  <c r="G138"/>
  <c r="K138" s="1"/>
  <c r="O138" s="1"/>
  <c r="G139"/>
  <c r="K139" s="1"/>
  <c r="G140"/>
  <c r="K140" s="1"/>
  <c r="G141"/>
  <c r="K141" s="1"/>
  <c r="N141" s="1"/>
  <c r="G142"/>
  <c r="K142" s="1"/>
  <c r="O142" s="1"/>
  <c r="G143"/>
  <c r="K143" s="1"/>
  <c r="G144"/>
  <c r="K144" s="1"/>
  <c r="N144" s="1"/>
  <c r="G145"/>
  <c r="K145" s="1"/>
  <c r="N145" s="1"/>
  <c r="G146"/>
  <c r="G131"/>
  <c r="H220"/>
  <c r="F220"/>
  <c r="E209"/>
  <c r="E208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C25" i="82" s="1"/>
  <c r="E194" i="12"/>
  <c r="E195"/>
  <c r="E196"/>
  <c r="E197"/>
  <c r="E162"/>
  <c r="E132"/>
  <c r="E133"/>
  <c r="E134"/>
  <c r="E135"/>
  <c r="E136"/>
  <c r="E137"/>
  <c r="E138"/>
  <c r="E139"/>
  <c r="E140"/>
  <c r="E141"/>
  <c r="E142"/>
  <c r="E143"/>
  <c r="E144"/>
  <c r="E145"/>
  <c r="E146"/>
  <c r="E131"/>
  <c r="C209"/>
  <c r="C208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B28" i="31" s="1"/>
  <c r="C184" i="12"/>
  <c r="B29" i="31" s="1"/>
  <c r="C185" i="12"/>
  <c r="B30" i="31" s="1"/>
  <c r="C186" i="12"/>
  <c r="B31" i="31" s="1"/>
  <c r="C187" i="12"/>
  <c r="B32" i="31" s="1"/>
  <c r="C188" i="12"/>
  <c r="B33" i="31" s="1"/>
  <c r="C189" i="12"/>
  <c r="B34" i="31" s="1"/>
  <c r="C190" i="12"/>
  <c r="B35" i="31" s="1"/>
  <c r="C191" i="12"/>
  <c r="B36" i="31" s="1"/>
  <c r="C192" i="12"/>
  <c r="B37" i="31" s="1"/>
  <c r="C193" i="12"/>
  <c r="B38" i="31" s="1"/>
  <c r="C194" i="12"/>
  <c r="B39" i="31" s="1"/>
  <c r="C195" i="12"/>
  <c r="B40" i="31" s="1"/>
  <c r="C196" i="12"/>
  <c r="B41" i="31" s="1"/>
  <c r="C197" i="12"/>
  <c r="C200"/>
  <c r="C201"/>
  <c r="C202"/>
  <c r="C203"/>
  <c r="C204"/>
  <c r="C205"/>
  <c r="C162"/>
  <c r="C132"/>
  <c r="C133"/>
  <c r="C134"/>
  <c r="C135"/>
  <c r="C136"/>
  <c r="C137"/>
  <c r="C138"/>
  <c r="C139"/>
  <c r="C140"/>
  <c r="C141"/>
  <c r="C142"/>
  <c r="C143"/>
  <c r="C144"/>
  <c r="C145"/>
  <c r="C146"/>
  <c r="C131"/>
  <c r="G106"/>
  <c r="G99"/>
  <c r="G91"/>
  <c r="G92"/>
  <c r="G90"/>
  <c r="G79"/>
  <c r="G80"/>
  <c r="G78"/>
  <c r="G69"/>
  <c r="G49"/>
  <c r="D20" i="82" s="1"/>
  <c r="G20" s="1"/>
  <c r="G47" i="12"/>
  <c r="D19" i="82" s="1"/>
  <c r="G48" i="12"/>
  <c r="G46"/>
  <c r="G45"/>
  <c r="D11" i="82" s="1"/>
  <c r="G36" i="12"/>
  <c r="G35"/>
  <c r="G16"/>
  <c r="G17"/>
  <c r="G18"/>
  <c r="G19"/>
  <c r="G20"/>
  <c r="G13"/>
  <c r="G14"/>
  <c r="G15"/>
  <c r="G12"/>
  <c r="E106"/>
  <c r="E99"/>
  <c r="E91"/>
  <c r="E92"/>
  <c r="E90"/>
  <c r="E79"/>
  <c r="E80"/>
  <c r="E78"/>
  <c r="E69"/>
  <c r="E49"/>
  <c r="C20" i="82" s="1"/>
  <c r="C39" s="1"/>
  <c r="E47" i="12"/>
  <c r="C19" i="82" s="1"/>
  <c r="E48" i="12"/>
  <c r="C13" i="82" s="1"/>
  <c r="C33" s="1"/>
  <c r="C46" s="1"/>
  <c r="H46" s="1"/>
  <c r="E46" i="12"/>
  <c r="C12" i="82" s="1"/>
  <c r="C32" s="1"/>
  <c r="E45" i="12"/>
  <c r="C11" i="82" s="1"/>
  <c r="E36" i="12"/>
  <c r="E35"/>
  <c r="E13"/>
  <c r="E14"/>
  <c r="E15"/>
  <c r="E16"/>
  <c r="E17"/>
  <c r="E18"/>
  <c r="E19"/>
  <c r="E20"/>
  <c r="E12"/>
  <c r="C109"/>
  <c r="C106"/>
  <c r="C99"/>
  <c r="C92"/>
  <c r="C91"/>
  <c r="C90"/>
  <c r="C79"/>
  <c r="C80"/>
  <c r="C81"/>
  <c r="C78"/>
  <c r="C69"/>
  <c r="C46"/>
  <c r="C47"/>
  <c r="C48"/>
  <c r="C49"/>
  <c r="C45"/>
  <c r="C36"/>
  <c r="B8" i="25" s="1"/>
  <c r="C35" i="12"/>
  <c r="C20"/>
  <c r="C18"/>
  <c r="C19"/>
  <c r="C13"/>
  <c r="C14"/>
  <c r="C15"/>
  <c r="C16"/>
  <c r="C17"/>
  <c r="C12"/>
  <c r="N195" l="1"/>
  <c r="D51" i="100"/>
  <c r="N191" i="12"/>
  <c r="D47" i="100"/>
  <c r="N187" i="12"/>
  <c r="D43" i="100"/>
  <c r="N183" i="12"/>
  <c r="D39" i="100"/>
  <c r="O140" i="12"/>
  <c r="E76" i="97"/>
  <c r="E10" i="99" s="1"/>
  <c r="O134" i="12"/>
  <c r="E79" i="97"/>
  <c r="E13" i="99" s="1"/>
  <c r="N189" i="12"/>
  <c r="D45" i="100"/>
  <c r="N185" i="12"/>
  <c r="D41" i="100"/>
  <c r="F142" i="12"/>
  <c r="N143"/>
  <c r="E77" i="97"/>
  <c r="F11" i="99" s="1"/>
  <c r="O139" i="12"/>
  <c r="O133"/>
  <c r="E81" i="97"/>
  <c r="E14" i="99" s="1"/>
  <c r="N196" i="12"/>
  <c r="D52" i="100"/>
  <c r="N194" i="12"/>
  <c r="D50" i="100"/>
  <c r="N192" i="12"/>
  <c r="D48" i="100"/>
  <c r="N190" i="12"/>
  <c r="D46" i="100"/>
  <c r="N188" i="12"/>
  <c r="D44" i="100"/>
  <c r="N186" i="12"/>
  <c r="D42" i="100"/>
  <c r="N184" i="12"/>
  <c r="D40" i="100"/>
  <c r="C38" i="82"/>
  <c r="C40" s="1"/>
  <c r="C21"/>
  <c r="C22" s="1"/>
  <c r="L126" i="83"/>
  <c r="D13" i="82"/>
  <c r="G13" s="1"/>
  <c r="H33" i="31"/>
  <c r="F33" s="1"/>
  <c r="D33"/>
  <c r="L20" i="83"/>
  <c r="D12" i="82"/>
  <c r="G12" s="1"/>
  <c r="D38" i="31"/>
  <c r="H38"/>
  <c r="H34"/>
  <c r="F34" s="1"/>
  <c r="D34"/>
  <c r="D30"/>
  <c r="H30"/>
  <c r="D41"/>
  <c r="H41"/>
  <c r="H29"/>
  <c r="D29"/>
  <c r="C45" i="82"/>
  <c r="H45" s="1"/>
  <c r="D14"/>
  <c r="G11"/>
  <c r="H20"/>
  <c r="I20" s="1"/>
  <c r="F39"/>
  <c r="G39" s="1"/>
  <c r="D39" i="31"/>
  <c r="H39"/>
  <c r="D35"/>
  <c r="H35"/>
  <c r="H31"/>
  <c r="D31"/>
  <c r="K193" i="12"/>
  <c r="D37" i="31"/>
  <c r="H37"/>
  <c r="C31" i="82"/>
  <c r="C14"/>
  <c r="C15" s="1"/>
  <c r="D21"/>
  <c r="G19"/>
  <c r="D40" i="31"/>
  <c r="H40"/>
  <c r="D36"/>
  <c r="H36"/>
  <c r="D32"/>
  <c r="H32"/>
  <c r="D28"/>
  <c r="H28"/>
  <c r="A6" i="75"/>
  <c r="C9" i="19"/>
  <c r="C15"/>
  <c r="C11"/>
  <c r="C12"/>
  <c r="J223" i="12"/>
  <c r="I223"/>
  <c r="D15" i="71"/>
  <c r="I26" i="39"/>
  <c r="H26"/>
  <c r="A3" i="80" l="1"/>
  <c r="A3" i="89"/>
  <c r="A3" i="90"/>
  <c r="A3" i="88"/>
  <c r="A3" i="87"/>
  <c r="A3" i="82"/>
  <c r="A3" i="86"/>
  <c r="A3" i="84"/>
  <c r="A3" i="83"/>
  <c r="N193" i="12"/>
  <c r="D49" i="100"/>
  <c r="E130" i="97"/>
  <c r="J33" i="31"/>
  <c r="J29"/>
  <c r="J32"/>
  <c r="F32"/>
  <c r="F40"/>
  <c r="J40"/>
  <c r="G32" i="82"/>
  <c r="H32" s="1"/>
  <c r="H12"/>
  <c r="I12" s="1"/>
  <c r="G33"/>
  <c r="H13"/>
  <c r="I13" s="1"/>
  <c r="J34" i="31"/>
  <c r="J35"/>
  <c r="F35"/>
  <c r="F41"/>
  <c r="J41"/>
  <c r="C44" i="82"/>
  <c r="C34"/>
  <c r="F39" i="31"/>
  <c r="J39"/>
  <c r="G14" i="82"/>
  <c r="G31"/>
  <c r="G34" s="1"/>
  <c r="H11"/>
  <c r="J28" i="31"/>
  <c r="F28"/>
  <c r="J36"/>
  <c r="F36"/>
  <c r="F38" i="82"/>
  <c r="H19"/>
  <c r="G21"/>
  <c r="J37" i="31"/>
  <c r="F37"/>
  <c r="F31"/>
  <c r="J31"/>
  <c r="J30"/>
  <c r="F30"/>
  <c r="J38"/>
  <c r="F38"/>
  <c r="F29"/>
  <c r="I224" i="12"/>
  <c r="A2" i="72"/>
  <c r="A2" i="74"/>
  <c r="A2" i="66"/>
  <c r="A2" i="39"/>
  <c r="A2" i="71"/>
  <c r="H31" i="82" l="1"/>
  <c r="I11"/>
  <c r="H14"/>
  <c r="I45"/>
  <c r="G38"/>
  <c r="G40" s="1"/>
  <c r="F40"/>
  <c r="H44"/>
  <c r="C47"/>
  <c r="H33"/>
  <c r="I46"/>
  <c r="H34"/>
  <c r="I19"/>
  <c r="H21"/>
  <c r="D6" i="41"/>
  <c r="D14" i="19"/>
  <c r="A20" i="37"/>
  <c r="A15"/>
  <c r="A14"/>
  <c r="A10"/>
  <c r="E106" i="75"/>
  <c r="C106"/>
  <c r="B2" i="76"/>
  <c r="E70"/>
  <c r="C70"/>
  <c r="E66"/>
  <c r="C66"/>
  <c r="F65"/>
  <c r="D65"/>
  <c r="C51"/>
  <c r="E51"/>
  <c r="E43"/>
  <c r="C43"/>
  <c r="F42"/>
  <c r="C28"/>
  <c r="E28"/>
  <c r="E20"/>
  <c r="C20"/>
  <c r="C6"/>
  <c r="E6"/>
  <c r="G123" i="75"/>
  <c r="G121"/>
  <c r="C121"/>
  <c r="D121" s="1"/>
  <c r="C120"/>
  <c r="D120" s="1"/>
  <c r="C119"/>
  <c r="D119" s="1"/>
  <c r="C118"/>
  <c r="D118" s="1"/>
  <c r="C117"/>
  <c r="D117" s="1"/>
  <c r="C116"/>
  <c r="D116" s="1"/>
  <c r="C115"/>
  <c r="D115" s="1"/>
  <c r="C114"/>
  <c r="D114" s="1"/>
  <c r="C113"/>
  <c r="D113" s="1"/>
  <c r="C112"/>
  <c r="D112" s="1"/>
  <c r="C111"/>
  <c r="C110"/>
  <c r="D110" s="1"/>
  <c r="E107"/>
  <c r="Y106"/>
  <c r="W106"/>
  <c r="U106"/>
  <c r="G119" s="1"/>
  <c r="S106"/>
  <c r="G118" s="1"/>
  <c r="Q106"/>
  <c r="G116" s="1"/>
  <c r="O106"/>
  <c r="G115" s="1"/>
  <c r="M106"/>
  <c r="G112" s="1"/>
  <c r="L106"/>
  <c r="G111" s="1"/>
  <c r="J106"/>
  <c r="G110" s="1"/>
  <c r="H106"/>
  <c r="G109" s="1"/>
  <c r="G105"/>
  <c r="G104"/>
  <c r="G103"/>
  <c r="F102"/>
  <c r="G102" s="1"/>
  <c r="G101"/>
  <c r="F100"/>
  <c r="G100" s="1"/>
  <c r="F99"/>
  <c r="G99" s="1"/>
  <c r="F98"/>
  <c r="G98" s="1"/>
  <c r="G97"/>
  <c r="G96"/>
  <c r="F95"/>
  <c r="G95" s="1"/>
  <c r="F94"/>
  <c r="G94" s="1"/>
  <c r="G93"/>
  <c r="F92"/>
  <c r="G92" s="1"/>
  <c r="F91"/>
  <c r="G91" s="1"/>
  <c r="F90"/>
  <c r="G90" s="1"/>
  <c r="F89"/>
  <c r="G89" s="1"/>
  <c r="F88"/>
  <c r="G88" s="1"/>
  <c r="G87"/>
  <c r="F86"/>
  <c r="G86" s="1"/>
  <c r="F85"/>
  <c r="G85" s="1"/>
  <c r="G84"/>
  <c r="G83"/>
  <c r="G82"/>
  <c r="F81"/>
  <c r="G81" s="1"/>
  <c r="F80"/>
  <c r="G80" s="1"/>
  <c r="F79"/>
  <c r="G79" s="1"/>
  <c r="F78"/>
  <c r="G78" s="1"/>
  <c r="F77"/>
  <c r="G77" s="1"/>
  <c r="F76"/>
  <c r="G76" s="1"/>
  <c r="F75"/>
  <c r="G75" s="1"/>
  <c r="F74"/>
  <c r="G74" s="1"/>
  <c r="G73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G59"/>
  <c r="G58"/>
  <c r="G57"/>
  <c r="F56"/>
  <c r="G56" s="1"/>
  <c r="F55"/>
  <c r="G55" s="1"/>
  <c r="F54"/>
  <c r="G54" s="1"/>
  <c r="G53"/>
  <c r="F52"/>
  <c r="G52" s="1"/>
  <c r="G5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G39"/>
  <c r="F38"/>
  <c r="G38" s="1"/>
  <c r="F37"/>
  <c r="G37" s="1"/>
  <c r="G36"/>
  <c r="G35"/>
  <c r="G34"/>
  <c r="G33"/>
  <c r="G32"/>
  <c r="G31"/>
  <c r="G30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C4" i="19"/>
  <c r="C3"/>
  <c r="C3" i="76" s="1"/>
  <c r="A2" i="63"/>
  <c r="H2"/>
  <c r="G25" i="70"/>
  <c r="A1"/>
  <c r="A1" i="69"/>
  <c r="A1" i="74"/>
  <c r="A1" i="72"/>
  <c r="A1" i="66"/>
  <c r="A1" i="71"/>
  <c r="H71"/>
  <c r="E71"/>
  <c r="D29" i="66"/>
  <c r="D29" i="69"/>
  <c r="G29" s="1"/>
  <c r="E29"/>
  <c r="D12" s="1"/>
  <c r="F29"/>
  <c r="G12" s="1"/>
  <c r="C124" i="66"/>
  <c r="C29" i="69" s="1"/>
  <c r="C12" s="1"/>
  <c r="F12" s="1"/>
  <c r="G124" i="66"/>
  <c r="H124"/>
  <c r="G15"/>
  <c r="D33" i="69"/>
  <c r="E33"/>
  <c r="F33"/>
  <c r="D16" s="1"/>
  <c r="D71" i="71" s="1"/>
  <c r="C32" i="69"/>
  <c r="C15" s="1"/>
  <c r="C70" i="71" s="1"/>
  <c r="C30" i="69"/>
  <c r="C13" s="1"/>
  <c r="C68" i="71" s="1"/>
  <c r="C27" i="69"/>
  <c r="C10" s="1"/>
  <c r="C66" i="71" s="1"/>
  <c r="H130" i="66"/>
  <c r="H132"/>
  <c r="C128"/>
  <c r="H128" s="1"/>
  <c r="G128"/>
  <c r="G19"/>
  <c r="G14" i="74"/>
  <c r="D14"/>
  <c r="A3"/>
  <c r="G2"/>
  <c r="F2"/>
  <c r="H15" i="39"/>
  <c r="G28" i="66"/>
  <c r="G27"/>
  <c r="G26"/>
  <c r="G25"/>
  <c r="G24"/>
  <c r="G23"/>
  <c r="G22"/>
  <c r="E98" i="70"/>
  <c r="E65"/>
  <c r="E48"/>
  <c r="C121" i="66"/>
  <c r="C26" i="69" s="1"/>
  <c r="C9" s="1"/>
  <c r="C122" i="66"/>
  <c r="C123"/>
  <c r="C28" i="69" s="1"/>
  <c r="C11" s="1"/>
  <c r="C125" i="66"/>
  <c r="C126"/>
  <c r="C31" i="69" s="1"/>
  <c r="C14" s="1"/>
  <c r="C127" i="66"/>
  <c r="C129"/>
  <c r="H129" s="1"/>
  <c r="C130"/>
  <c r="C35" i="69" s="1"/>
  <c r="C18" s="1"/>
  <c r="C131" i="66"/>
  <c r="H131" s="1"/>
  <c r="C132"/>
  <c r="C37" i="69" s="1"/>
  <c r="C20" s="1"/>
  <c r="C120" i="66"/>
  <c r="H120" s="1"/>
  <c r="D108"/>
  <c r="H47" i="70"/>
  <c r="C62" i="71"/>
  <c r="E62"/>
  <c r="F62"/>
  <c r="G62"/>
  <c r="H62"/>
  <c r="E171" i="70"/>
  <c r="E170"/>
  <c r="E169"/>
  <c r="D171"/>
  <c r="D170"/>
  <c r="D169"/>
  <c r="D164"/>
  <c r="D15" s="1"/>
  <c r="D62" i="71" s="1"/>
  <c r="D163" i="70"/>
  <c r="D191" s="1"/>
  <c r="D162"/>
  <c r="D185" s="1"/>
  <c r="D161"/>
  <c r="D160"/>
  <c r="D179" s="1"/>
  <c r="E115" i="66"/>
  <c r="D115"/>
  <c r="D184" i="70"/>
  <c r="G67" i="66"/>
  <c r="D66" s="1"/>
  <c r="G78" i="70"/>
  <c r="D98" s="1"/>
  <c r="G77"/>
  <c r="F94" s="1"/>
  <c r="H127" i="66"/>
  <c r="H126"/>
  <c r="H125"/>
  <c r="H123"/>
  <c r="H122"/>
  <c r="H121"/>
  <c r="H82" i="71"/>
  <c r="G82"/>
  <c r="F82"/>
  <c r="E82"/>
  <c r="D82"/>
  <c r="H81"/>
  <c r="G81"/>
  <c r="F81"/>
  <c r="E81"/>
  <c r="D81"/>
  <c r="H80"/>
  <c r="G80"/>
  <c r="F80"/>
  <c r="E80"/>
  <c r="D80"/>
  <c r="H79"/>
  <c r="G79"/>
  <c r="F79"/>
  <c r="E79"/>
  <c r="D79"/>
  <c r="H78"/>
  <c r="G78"/>
  <c r="F78"/>
  <c r="E78"/>
  <c r="D78"/>
  <c r="H77"/>
  <c r="G77"/>
  <c r="F77"/>
  <c r="E77"/>
  <c r="D77"/>
  <c r="C82"/>
  <c r="C81"/>
  <c r="C80"/>
  <c r="C79"/>
  <c r="C78"/>
  <c r="C77"/>
  <c r="H75"/>
  <c r="E75"/>
  <c r="H74"/>
  <c r="E74"/>
  <c r="H73"/>
  <c r="E73"/>
  <c r="H72"/>
  <c r="E72"/>
  <c r="H70"/>
  <c r="E70"/>
  <c r="H69"/>
  <c r="E69"/>
  <c r="H68"/>
  <c r="E68"/>
  <c r="H67"/>
  <c r="E67"/>
  <c r="H66"/>
  <c r="E66"/>
  <c r="H65"/>
  <c r="E65"/>
  <c r="H64"/>
  <c r="E64"/>
  <c r="F26" i="69"/>
  <c r="G9" s="1"/>
  <c r="G65" i="71" s="1"/>
  <c r="D31" i="69"/>
  <c r="E31"/>
  <c r="D14" s="1"/>
  <c r="D69" i="71" s="1"/>
  <c r="F31" i="69"/>
  <c r="G14" s="1"/>
  <c r="G69" i="71" s="1"/>
  <c r="D32" i="69"/>
  <c r="E32"/>
  <c r="G15" s="1"/>
  <c r="G70" i="71" s="1"/>
  <c r="F32" i="69"/>
  <c r="D15" s="1"/>
  <c r="D70" i="71" s="1"/>
  <c r="D34" i="69"/>
  <c r="E34"/>
  <c r="D17" s="1"/>
  <c r="D72" i="71" s="1"/>
  <c r="F34" i="69"/>
  <c r="G17" s="1"/>
  <c r="G72" i="71" s="1"/>
  <c r="D35" i="69"/>
  <c r="E35"/>
  <c r="G18" s="1"/>
  <c r="G73" i="71" s="1"/>
  <c r="F35" i="69"/>
  <c r="D18" s="1"/>
  <c r="D73" i="71" s="1"/>
  <c r="D36" i="69"/>
  <c r="E36"/>
  <c r="G19" s="1"/>
  <c r="G74" i="71" s="1"/>
  <c r="F36" i="69"/>
  <c r="D19" s="1"/>
  <c r="D74" i="71" s="1"/>
  <c r="D37" i="69"/>
  <c r="E37"/>
  <c r="F37"/>
  <c r="D20" s="1"/>
  <c r="D75" i="71" s="1"/>
  <c r="G132" i="66"/>
  <c r="F30" i="69"/>
  <c r="D13" s="1"/>
  <c r="D68" i="71" s="1"/>
  <c r="E30" i="69"/>
  <c r="G13" s="1"/>
  <c r="G68" i="71" s="1"/>
  <c r="F28" i="69"/>
  <c r="G11" s="1"/>
  <c r="G67" i="71" s="1"/>
  <c r="E28" i="69"/>
  <c r="D11" s="1"/>
  <c r="D67" i="71" s="1"/>
  <c r="F27" i="69"/>
  <c r="D10" s="1"/>
  <c r="D66" i="71" s="1"/>
  <c r="E27" i="69"/>
  <c r="G10" s="1"/>
  <c r="G66" i="71" s="1"/>
  <c r="E26" i="69"/>
  <c r="D9" s="1"/>
  <c r="D65" i="71" s="1"/>
  <c r="F25" i="69"/>
  <c r="D8" s="1"/>
  <c r="D64" i="71" s="1"/>
  <c r="E25" i="69"/>
  <c r="G8" s="1"/>
  <c r="G64" i="71" s="1"/>
  <c r="D30" i="69"/>
  <c r="D28"/>
  <c r="G28" s="1"/>
  <c r="D27"/>
  <c r="D26"/>
  <c r="D25"/>
  <c r="G121" i="66"/>
  <c r="G122"/>
  <c r="G123"/>
  <c r="G125"/>
  <c r="G126"/>
  <c r="G127"/>
  <c r="G129"/>
  <c r="G130"/>
  <c r="G131"/>
  <c r="G120"/>
  <c r="A2" i="69"/>
  <c r="G14" i="72"/>
  <c r="D14"/>
  <c r="A3"/>
  <c r="G2"/>
  <c r="F2"/>
  <c r="G21" i="66"/>
  <c r="G20"/>
  <c r="G18"/>
  <c r="G17"/>
  <c r="G16"/>
  <c r="G14"/>
  <c r="G13"/>
  <c r="G12"/>
  <c r="G11"/>
  <c r="G10"/>
  <c r="G9"/>
  <c r="G8"/>
  <c r="E146" i="70"/>
  <c r="D129"/>
  <c r="E117"/>
  <c r="I112"/>
  <c r="H110"/>
  <c r="G110"/>
  <c r="F110"/>
  <c r="E110"/>
  <c r="H109"/>
  <c r="G109"/>
  <c r="F109"/>
  <c r="E109"/>
  <c r="D110"/>
  <c r="D109"/>
  <c r="C88"/>
  <c r="C87"/>
  <c r="C86"/>
  <c r="C85"/>
  <c r="C84"/>
  <c r="E104"/>
  <c r="D104"/>
  <c r="G88"/>
  <c r="G87"/>
  <c r="G86"/>
  <c r="G85"/>
  <c r="G84"/>
  <c r="E88"/>
  <c r="D88"/>
  <c r="E87"/>
  <c r="D87"/>
  <c r="E86"/>
  <c r="D86"/>
  <c r="E85"/>
  <c r="D85"/>
  <c r="E84"/>
  <c r="D84"/>
  <c r="D79"/>
  <c r="D77"/>
  <c r="F61"/>
  <c r="E61"/>
  <c r="D61"/>
  <c r="G40"/>
  <c r="G39"/>
  <c r="D38"/>
  <c r="D34"/>
  <c r="D33"/>
  <c r="E28"/>
  <c r="G26"/>
  <c r="F26"/>
  <c r="E26"/>
  <c r="D26"/>
  <c r="C26"/>
  <c r="F25"/>
  <c r="E25"/>
  <c r="D25"/>
  <c r="C25"/>
  <c r="G24"/>
  <c r="F24"/>
  <c r="E24"/>
  <c r="D24"/>
  <c r="C24"/>
  <c r="D77" i="66"/>
  <c r="E77"/>
  <c r="F77"/>
  <c r="H90"/>
  <c r="E44" i="71"/>
  <c r="E46" s="1"/>
  <c r="F4" i="76" l="1"/>
  <c r="F75" s="1"/>
  <c r="C25" i="69"/>
  <c r="C8" s="1"/>
  <c r="C64" i="71" s="1"/>
  <c r="C34" i="69"/>
  <c r="C17" s="1"/>
  <c r="C72" i="71" s="1"/>
  <c r="C36" i="69"/>
  <c r="C19" s="1"/>
  <c r="C74" i="71" s="1"/>
  <c r="G29" i="66"/>
  <c r="C33" i="69"/>
  <c r="C16" s="1"/>
  <c r="F16" s="1"/>
  <c r="F71" i="71" s="1"/>
  <c r="H47" i="82"/>
  <c r="I44"/>
  <c r="D42" i="76"/>
  <c r="D4"/>
  <c r="F77"/>
  <c r="D76" s="1"/>
  <c r="C8" i="19"/>
  <c r="A4" i="75" s="1"/>
  <c r="C6" i="19"/>
  <c r="D7" i="75"/>
  <c r="C7" i="19"/>
  <c r="A3" i="75" s="1"/>
  <c r="C5" i="19"/>
  <c r="E3" i="76"/>
  <c r="B7" i="75"/>
  <c r="Y107"/>
  <c r="C71" i="71"/>
  <c r="D111" i="75"/>
  <c r="G114"/>
  <c r="G113"/>
  <c r="G117"/>
  <c r="G31" i="69"/>
  <c r="G33"/>
  <c r="G32"/>
  <c r="F9"/>
  <c r="F65" i="71" s="1"/>
  <c r="C65"/>
  <c r="F11" i="69"/>
  <c r="F67" i="71" s="1"/>
  <c r="C67"/>
  <c r="F14" i="69"/>
  <c r="F69" i="71" s="1"/>
  <c r="C69"/>
  <c r="F18" i="69"/>
  <c r="F73" i="71" s="1"/>
  <c r="C73"/>
  <c r="F20" i="69"/>
  <c r="F75" i="71" s="1"/>
  <c r="C75"/>
  <c r="G30" i="69"/>
  <c r="G34"/>
  <c r="F8"/>
  <c r="F64" i="71" s="1"/>
  <c r="F10" i="69"/>
  <c r="F66" i="71" s="1"/>
  <c r="F13" i="69"/>
  <c r="F68" i="71" s="1"/>
  <c r="F15" i="69"/>
  <c r="F70" i="71" s="1"/>
  <c r="F19" i="69"/>
  <c r="F74" i="71" s="1"/>
  <c r="G16" i="69"/>
  <c r="G71" i="71" s="1"/>
  <c r="F171" i="70"/>
  <c r="E172"/>
  <c r="G37" i="69"/>
  <c r="F170" i="70"/>
  <c r="D165"/>
  <c r="F169"/>
  <c r="D172"/>
  <c r="C197"/>
  <c r="G94"/>
  <c r="G79"/>
  <c r="D78" s="1"/>
  <c r="G36" i="69"/>
  <c r="G20"/>
  <c r="G75" i="71" s="1"/>
  <c r="G25" i="69"/>
  <c r="G27"/>
  <c r="G26"/>
  <c r="G35"/>
  <c r="F17" l="1"/>
  <c r="F72" i="71" s="1"/>
  <c r="D75" i="76"/>
  <c r="D77"/>
  <c r="D79" s="1"/>
  <c r="F79"/>
  <c r="G120" i="75"/>
  <c r="G122" s="1"/>
  <c r="G124" s="1"/>
  <c r="F172" i="70"/>
  <c r="H61" i="71"/>
  <c r="G61"/>
  <c r="F61"/>
  <c r="E61"/>
  <c r="C61"/>
  <c r="H60"/>
  <c r="G60"/>
  <c r="F60"/>
  <c r="E60"/>
  <c r="C60"/>
  <c r="H59"/>
  <c r="G59"/>
  <c r="F59"/>
  <c r="E59"/>
  <c r="C59"/>
  <c r="H58"/>
  <c r="F58"/>
  <c r="E58"/>
  <c r="C58"/>
  <c r="H57"/>
  <c r="F57"/>
  <c r="E57"/>
  <c r="D57"/>
  <c r="C57"/>
  <c r="H56"/>
  <c r="F56"/>
  <c r="E56"/>
  <c r="C56"/>
  <c r="H55"/>
  <c r="F55"/>
  <c r="E55"/>
  <c r="C55"/>
  <c r="E138" i="70" l="1"/>
  <c r="A2"/>
  <c r="A3" i="71"/>
  <c r="G2"/>
  <c r="F2"/>
  <c r="D135" i="70"/>
  <c r="E144" s="1"/>
  <c r="E134"/>
  <c r="E142" s="1"/>
  <c r="D134"/>
  <c r="E135" s="1"/>
  <c r="E143" s="1"/>
  <c r="E123"/>
  <c r="E121"/>
  <c r="E119"/>
  <c r="H111"/>
  <c r="E120" s="1"/>
  <c r="G111"/>
  <c r="E122" s="1"/>
  <c r="F111"/>
  <c r="E111"/>
  <c r="E124" s="1"/>
  <c r="D111"/>
  <c r="I110"/>
  <c r="I109"/>
  <c r="F104"/>
  <c r="F98"/>
  <c r="C98"/>
  <c r="G98"/>
  <c r="G89"/>
  <c r="E89"/>
  <c r="D89"/>
  <c r="F88"/>
  <c r="H88" s="1"/>
  <c r="F87"/>
  <c r="H87" s="1"/>
  <c r="F86"/>
  <c r="H86" s="1"/>
  <c r="F85"/>
  <c r="H85" s="1"/>
  <c r="F84"/>
  <c r="H84" s="1"/>
  <c r="D80"/>
  <c r="D69"/>
  <c r="F65"/>
  <c r="G61"/>
  <c r="D65" s="1"/>
  <c r="D56"/>
  <c r="D57" s="1"/>
  <c r="D9" s="1"/>
  <c r="D56" i="71" s="1"/>
  <c r="H48" i="70"/>
  <c r="F48"/>
  <c r="D48"/>
  <c r="G41"/>
  <c r="G27"/>
  <c r="F27"/>
  <c r="E27"/>
  <c r="E29" s="1"/>
  <c r="D27"/>
  <c r="I26"/>
  <c r="H26"/>
  <c r="I25"/>
  <c r="H25"/>
  <c r="I24"/>
  <c r="I27" s="1"/>
  <c r="D45" s="1"/>
  <c r="F45" s="1"/>
  <c r="H24"/>
  <c r="H27" s="1"/>
  <c r="D12"/>
  <c r="D59" i="71" s="1"/>
  <c r="A3" i="70"/>
  <c r="G2"/>
  <c r="F2"/>
  <c r="A3" i="69"/>
  <c r="G2"/>
  <c r="F2"/>
  <c r="I111" i="70" l="1"/>
  <c r="E116" s="1"/>
  <c r="E118" s="1"/>
  <c r="H94"/>
  <c r="G9"/>
  <c r="G56" i="71" s="1"/>
  <c r="E141" i="70"/>
  <c r="E125"/>
  <c r="E151" s="1"/>
  <c r="H89"/>
  <c r="C94" s="1"/>
  <c r="E94" s="1"/>
  <c r="F89"/>
  <c r="E140"/>
  <c r="G48"/>
  <c r="G8" s="1"/>
  <c r="G55" i="71" s="1"/>
  <c r="G65" i="70"/>
  <c r="C72" s="1"/>
  <c r="E139"/>
  <c r="H98"/>
  <c r="G11" s="1"/>
  <c r="G58" i="71" s="1"/>
  <c r="G21" i="69"/>
  <c r="I94" i="70" l="1"/>
  <c r="D11" s="1"/>
  <c r="D58" i="71" s="1"/>
  <c r="I113" i="70"/>
  <c r="E150"/>
  <c r="E152" s="1"/>
  <c r="E147"/>
  <c r="E148" s="1"/>
  <c r="H65"/>
  <c r="E72" s="1"/>
  <c r="E126"/>
  <c r="D13" s="1"/>
  <c r="D60" i="71" s="1"/>
  <c r="I48" i="70"/>
  <c r="D51" s="1"/>
  <c r="E145"/>
  <c r="E149" s="1"/>
  <c r="E153" l="1"/>
  <c r="D14" s="1"/>
  <c r="D61" i="71" s="1"/>
  <c r="D21" i="69"/>
  <c r="E154" i="70" l="1"/>
  <c r="D68" i="66"/>
  <c r="G53" l="1"/>
  <c r="G60"/>
  <c r="G39"/>
  <c r="F39"/>
  <c r="E39"/>
  <c r="E41" s="1"/>
  <c r="A3"/>
  <c r="G2"/>
  <c r="F2"/>
  <c r="F2" i="39"/>
  <c r="H2" i="64"/>
  <c r="A2"/>
  <c r="F2" i="31"/>
  <c r="H2" i="62"/>
  <c r="A2"/>
  <c r="A2" i="61"/>
  <c r="H2"/>
  <c r="F2" i="30"/>
  <c r="H2" i="60"/>
  <c r="A2"/>
  <c r="F2" i="27"/>
  <c r="H2" i="59"/>
  <c r="A2"/>
  <c r="P3" i="64"/>
  <c r="L3"/>
  <c r="A3"/>
  <c r="P2"/>
  <c r="L2"/>
  <c r="A1"/>
  <c r="P3" i="63"/>
  <c r="L3"/>
  <c r="A3"/>
  <c r="P2"/>
  <c r="L2"/>
  <c r="A1"/>
  <c r="P3" i="62"/>
  <c r="L3"/>
  <c r="A3"/>
  <c r="P2"/>
  <c r="L2"/>
  <c r="A1"/>
  <c r="P3" i="61"/>
  <c r="L3"/>
  <c r="A3"/>
  <c r="P2"/>
  <c r="L2"/>
  <c r="A1"/>
  <c r="P3" i="60"/>
  <c r="L3"/>
  <c r="A3"/>
  <c r="P2"/>
  <c r="L2"/>
  <c r="A1"/>
  <c r="P3" i="59"/>
  <c r="L3"/>
  <c r="A3"/>
  <c r="P2"/>
  <c r="L2"/>
  <c r="A1"/>
  <c r="B2" i="35"/>
  <c r="B2" i="34"/>
  <c r="B2" i="32"/>
  <c r="F2" i="29"/>
  <c r="F2" i="28"/>
  <c r="D2" i="36"/>
  <c r="F2" i="26"/>
  <c r="H2" i="58"/>
  <c r="A2"/>
  <c r="F2" i="25"/>
  <c r="H2" i="57"/>
  <c r="A2"/>
  <c r="F2" i="24"/>
  <c r="H2" i="56"/>
  <c r="A2"/>
  <c r="P3" i="58"/>
  <c r="L3"/>
  <c r="A3"/>
  <c r="P2"/>
  <c r="L2"/>
  <c r="A1"/>
  <c r="P3" i="57"/>
  <c r="L3"/>
  <c r="A3"/>
  <c r="P2"/>
  <c r="L2"/>
  <c r="A1"/>
  <c r="P3" i="56"/>
  <c r="L3"/>
  <c r="A3"/>
  <c r="P2"/>
  <c r="L2"/>
  <c r="A1"/>
  <c r="F2" i="23"/>
  <c r="H2" i="55"/>
  <c r="A2"/>
  <c r="F2" i="22"/>
  <c r="H2" i="54"/>
  <c r="A2"/>
  <c r="F2" i="21"/>
  <c r="H2" i="53"/>
  <c r="A2"/>
  <c r="D52" i="66" l="1"/>
  <c r="D39"/>
  <c r="P3" i="55"/>
  <c r="L3"/>
  <c r="A3"/>
  <c r="P2"/>
  <c r="L2"/>
  <c r="A1"/>
  <c r="P3" i="54"/>
  <c r="L3"/>
  <c r="A3"/>
  <c r="P2"/>
  <c r="L2"/>
  <c r="A1"/>
  <c r="P3" i="53"/>
  <c r="L3"/>
  <c r="A3"/>
  <c r="P2"/>
  <c r="L2"/>
  <c r="A1"/>
  <c r="F2" i="20"/>
  <c r="A2" i="52"/>
  <c r="H2"/>
  <c r="P3"/>
  <c r="L3"/>
  <c r="A3"/>
  <c r="P2"/>
  <c r="L2"/>
  <c r="A1"/>
  <c r="A2" i="51"/>
  <c r="F2" i="5"/>
  <c r="H2" i="51"/>
  <c r="P3"/>
  <c r="L3"/>
  <c r="A3"/>
  <c r="P2"/>
  <c r="L2"/>
  <c r="A1"/>
  <c r="F2" i="4"/>
  <c r="H2" i="50"/>
  <c r="A2"/>
  <c r="P3"/>
  <c r="L3"/>
  <c r="A3"/>
  <c r="P2"/>
  <c r="L2"/>
  <c r="A1"/>
  <c r="H2" i="43"/>
  <c r="A2"/>
  <c r="P3"/>
  <c r="L3"/>
  <c r="A3"/>
  <c r="P2"/>
  <c r="L2"/>
  <c r="A1"/>
  <c r="F2" i="3"/>
  <c r="H2" i="48"/>
  <c r="A2"/>
  <c r="P3"/>
  <c r="L3"/>
  <c r="A3"/>
  <c r="P2"/>
  <c r="L2"/>
  <c r="A1"/>
  <c r="P3" i="47"/>
  <c r="P3" i="46"/>
  <c r="P3" i="45"/>
  <c r="L3" i="47"/>
  <c r="L2"/>
  <c r="L3" i="46"/>
  <c r="L2"/>
  <c r="L3" i="45"/>
  <c r="L2"/>
  <c r="L3" i="44"/>
  <c r="P3"/>
  <c r="A2" i="47"/>
  <c r="F2" i="2"/>
  <c r="H2" i="47"/>
  <c r="A3"/>
  <c r="P2"/>
  <c r="A1"/>
  <c r="F2" i="1"/>
  <c r="H2" i="46"/>
  <c r="A2"/>
  <c r="A3"/>
  <c r="P2"/>
  <c r="A1"/>
  <c r="F2" i="6"/>
  <c r="H2" i="45"/>
  <c r="A2"/>
  <c r="A3"/>
  <c r="P2"/>
  <c r="A1"/>
  <c r="F2" i="7"/>
  <c r="H2" i="44"/>
  <c r="A3"/>
  <c r="P2"/>
  <c r="L2"/>
  <c r="A2"/>
  <c r="A1"/>
  <c r="A2" i="35"/>
  <c r="A2" i="34"/>
  <c r="A2" i="32"/>
  <c r="A2" i="29"/>
  <c r="A2" i="31"/>
  <c r="A2" i="30"/>
  <c r="A2" i="28"/>
  <c r="A2" i="36"/>
  <c r="A2" i="27"/>
  <c r="A2" i="26"/>
  <c r="A2" i="25"/>
  <c r="A2" i="24"/>
  <c r="A2" i="23"/>
  <c r="A2" i="22"/>
  <c r="A2" i="21"/>
  <c r="A2" i="20"/>
  <c r="A2" i="5"/>
  <c r="A2" i="4"/>
  <c r="A2" i="3"/>
  <c r="A2" i="2"/>
  <c r="A2" i="1"/>
  <c r="A2" i="6"/>
  <c r="A2" i="7"/>
  <c r="A3" i="42"/>
  <c r="J2"/>
  <c r="H2"/>
  <c r="A1"/>
  <c r="L128" i="41"/>
  <c r="J128"/>
  <c r="H128"/>
  <c r="L127"/>
  <c r="J127"/>
  <c r="H127"/>
  <c r="L126"/>
  <c r="J126"/>
  <c r="H126"/>
  <c r="L116"/>
  <c r="J116"/>
  <c r="H116"/>
  <c r="L115"/>
  <c r="J115"/>
  <c r="H115"/>
  <c r="L114"/>
  <c r="J114"/>
  <c r="H114"/>
  <c r="L112"/>
  <c r="J112"/>
  <c r="H112"/>
  <c r="L111"/>
  <c r="J111"/>
  <c r="H111"/>
  <c r="L110"/>
  <c r="L109"/>
  <c r="L108"/>
  <c r="J110"/>
  <c r="J109"/>
  <c r="J108"/>
  <c r="J107"/>
  <c r="J106"/>
  <c r="H110"/>
  <c r="H109"/>
  <c r="H108"/>
  <c r="H107"/>
  <c r="H106"/>
  <c r="L107"/>
  <c r="L106"/>
  <c r="L105"/>
  <c r="J105"/>
  <c r="H105"/>
  <c r="L122"/>
  <c r="J122"/>
  <c r="H122"/>
  <c r="L121"/>
  <c r="J121"/>
  <c r="H121"/>
  <c r="L99"/>
  <c r="L98"/>
  <c r="J99"/>
  <c r="J98"/>
  <c r="H98"/>
  <c r="H99"/>
  <c r="L94"/>
  <c r="J94"/>
  <c r="H94"/>
  <c r="L93"/>
  <c r="J93"/>
  <c r="H93"/>
  <c r="L92"/>
  <c r="J92"/>
  <c r="H92"/>
  <c r="L88"/>
  <c r="J88"/>
  <c r="H88"/>
  <c r="L87"/>
  <c r="J87"/>
  <c r="H87"/>
  <c r="L86"/>
  <c r="J86"/>
  <c r="H86"/>
  <c r="L80"/>
  <c r="J80"/>
  <c r="H80"/>
  <c r="L78"/>
  <c r="J78"/>
  <c r="H78"/>
  <c r="L73"/>
  <c r="J73"/>
  <c r="H73"/>
  <c r="L71"/>
  <c r="J71"/>
  <c r="H71"/>
  <c r="L63"/>
  <c r="J63"/>
  <c r="H63"/>
  <c r="F6"/>
  <c r="H6" s="1"/>
  <c r="J6" s="1"/>
  <c r="I2"/>
  <c r="G2"/>
  <c r="A3"/>
  <c r="A1"/>
  <c r="J51"/>
  <c r="J20"/>
  <c r="H6" i="29"/>
  <c r="D6"/>
  <c r="H6" i="31"/>
  <c r="D6"/>
  <c r="H6" i="30"/>
  <c r="D6"/>
  <c r="H6" i="28"/>
  <c r="D6"/>
  <c r="J6" i="27"/>
  <c r="D6"/>
  <c r="J6" i="26"/>
  <c r="D6"/>
  <c r="J6" i="25"/>
  <c r="D6"/>
  <c r="J6" i="24"/>
  <c r="D6"/>
  <c r="J6" i="23"/>
  <c r="D6"/>
  <c r="J6" i="22"/>
  <c r="D6"/>
  <c r="J6" i="21"/>
  <c r="D6"/>
  <c r="J6" i="20"/>
  <c r="D6"/>
  <c r="J6" i="5"/>
  <c r="D6"/>
  <c r="J6" i="4"/>
  <c r="D6"/>
  <c r="J6" i="3"/>
  <c r="D6"/>
  <c r="J6" i="2"/>
  <c r="D6"/>
  <c r="J6" i="1"/>
  <c r="D6"/>
  <c r="J6" i="6"/>
  <c r="D6"/>
  <c r="J6" i="7"/>
  <c r="D6"/>
  <c r="K2" i="18"/>
  <c r="I2"/>
  <c r="A3"/>
  <c r="G129" i="12"/>
  <c r="E129"/>
  <c r="G8"/>
  <c r="E8"/>
  <c r="B14" i="29"/>
  <c r="B42" i="31"/>
  <c r="B18" i="30"/>
  <c r="D18" s="1"/>
  <c r="B17"/>
  <c r="D17" s="1"/>
  <c r="B16"/>
  <c r="D16" s="1"/>
  <c r="B14"/>
  <c r="D14" s="1"/>
  <c r="B13"/>
  <c r="D13" s="1"/>
  <c r="B12"/>
  <c r="D12" s="1"/>
  <c r="B10"/>
  <c r="D10" s="1"/>
  <c r="B9"/>
  <c r="D9" s="1"/>
  <c r="B8"/>
  <c r="D8" s="1"/>
  <c r="B7" i="28"/>
  <c r="A15" i="30"/>
  <c r="A11"/>
  <c r="A7"/>
  <c r="C110" i="38"/>
  <c r="C105"/>
  <c r="C104"/>
  <c r="C103" s="1"/>
  <c r="C102"/>
  <c r="C101"/>
  <c r="C100" s="1"/>
  <c r="C99"/>
  <c r="C98"/>
  <c r="C97"/>
  <c r="C96"/>
  <c r="A53" i="14"/>
  <c r="A51"/>
  <c r="A49"/>
  <c r="A47"/>
  <c r="A45"/>
  <c r="A43"/>
  <c r="A41"/>
  <c r="A39"/>
  <c r="A7" i="29"/>
  <c r="A16"/>
  <c r="F2" i="36"/>
  <c r="E2"/>
  <c r="A3"/>
  <c r="D2" i="35"/>
  <c r="C2"/>
  <c r="A3"/>
  <c r="D2" i="34"/>
  <c r="C2"/>
  <c r="A3"/>
  <c r="D2" i="32"/>
  <c r="C2"/>
  <c r="A3"/>
  <c r="H2" i="39"/>
  <c r="G2"/>
  <c r="A3"/>
  <c r="A1"/>
  <c r="J2" i="29"/>
  <c r="H2"/>
  <c r="A3"/>
  <c r="J2" i="31"/>
  <c r="H2"/>
  <c r="A3"/>
  <c r="J2" i="30"/>
  <c r="H2"/>
  <c r="A3"/>
  <c r="J2" i="28"/>
  <c r="H2"/>
  <c r="A3"/>
  <c r="J2" i="27"/>
  <c r="H2"/>
  <c r="A3"/>
  <c r="J2" i="26"/>
  <c r="H2"/>
  <c r="A3"/>
  <c r="J2" i="25"/>
  <c r="H2"/>
  <c r="A3"/>
  <c r="J2" i="24"/>
  <c r="H2"/>
  <c r="A3"/>
  <c r="J2" i="23"/>
  <c r="H2"/>
  <c r="A3"/>
  <c r="J2" i="22"/>
  <c r="H2"/>
  <c r="A3"/>
  <c r="J2" i="21"/>
  <c r="H2"/>
  <c r="A3"/>
  <c r="J2" i="20"/>
  <c r="H2"/>
  <c r="A3"/>
  <c r="J2" i="5"/>
  <c r="H2"/>
  <c r="A3"/>
  <c r="A1"/>
  <c r="J2" i="4"/>
  <c r="H2"/>
  <c r="A3"/>
  <c r="J2" i="3"/>
  <c r="H2"/>
  <c r="A3"/>
  <c r="A1"/>
  <c r="J2" i="2"/>
  <c r="H2"/>
  <c r="A3"/>
  <c r="J2" i="1"/>
  <c r="H2"/>
  <c r="A3"/>
  <c r="J2" i="6"/>
  <c r="H2"/>
  <c r="A3"/>
  <c r="J2" i="7"/>
  <c r="H2"/>
  <c r="A3"/>
  <c r="A1"/>
  <c r="I80" i="39"/>
  <c r="H80"/>
  <c r="E76"/>
  <c r="E75"/>
  <c r="E74"/>
  <c r="E73"/>
  <c r="E72"/>
  <c r="E71"/>
  <c r="E70"/>
  <c r="E69"/>
  <c r="E68"/>
  <c r="E67"/>
  <c r="E66"/>
  <c r="E65"/>
  <c r="E64"/>
  <c r="E63"/>
  <c r="E62"/>
  <c r="E61"/>
  <c r="E60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E59"/>
  <c r="H8" i="30" l="1"/>
  <c r="H9"/>
  <c r="F9" s="1"/>
  <c r="H10"/>
  <c r="F10" s="1"/>
  <c r="H12"/>
  <c r="F12" s="1"/>
  <c r="H13"/>
  <c r="F13" s="1"/>
  <c r="H14"/>
  <c r="F14" s="1"/>
  <c r="H16"/>
  <c r="F16" s="1"/>
  <c r="H17"/>
  <c r="F17" s="1"/>
  <c r="H18"/>
  <c r="F18" s="1"/>
  <c r="D40" i="70"/>
  <c r="D53" i="66"/>
  <c r="F28" i="41"/>
  <c r="J64" s="1"/>
  <c r="J28"/>
  <c r="J31" s="1"/>
  <c r="D28"/>
  <c r="H64" s="1"/>
  <c r="H28"/>
  <c r="L64" s="1"/>
  <c r="D30"/>
  <c r="F20"/>
  <c r="F51"/>
  <c r="D20"/>
  <c r="H20"/>
  <c r="D51"/>
  <c r="H51"/>
  <c r="L79" s="1"/>
  <c r="C95" i="38"/>
  <c r="C106" s="1"/>
  <c r="B19" i="27"/>
  <c r="A14"/>
  <c r="B10" i="23"/>
  <c r="B10" i="22"/>
  <c r="J10" s="1"/>
  <c r="B10" i="20"/>
  <c r="H7" i="28"/>
  <c r="D7"/>
  <c r="B9" i="20"/>
  <c r="B8"/>
  <c r="B7"/>
  <c r="H28" i="27"/>
  <c r="H27"/>
  <c r="H26"/>
  <c r="K115" i="12"/>
  <c r="K112"/>
  <c r="K111"/>
  <c r="K110"/>
  <c r="K109"/>
  <c r="F105"/>
  <c r="H105"/>
  <c r="K107"/>
  <c r="K106"/>
  <c r="H102"/>
  <c r="F102"/>
  <c r="F100"/>
  <c r="H100"/>
  <c r="K104"/>
  <c r="K103"/>
  <c r="K101"/>
  <c r="L100" s="1"/>
  <c r="K99"/>
  <c r="H98"/>
  <c r="F98"/>
  <c r="D11" i="18" s="1"/>
  <c r="B23" s="1"/>
  <c r="F89" i="12"/>
  <c r="H89"/>
  <c r="K94"/>
  <c r="K93"/>
  <c r="K92"/>
  <c r="E48" i="97" s="1"/>
  <c r="K91" i="12"/>
  <c r="E46" i="97" s="1"/>
  <c r="K90" i="12"/>
  <c r="E47" i="97" s="1"/>
  <c r="E157" s="1"/>
  <c r="E147" s="1"/>
  <c r="K88" i="12"/>
  <c r="K87"/>
  <c r="K86"/>
  <c r="K85"/>
  <c r="K84"/>
  <c r="K83"/>
  <c r="K82"/>
  <c r="K81"/>
  <c r="K80"/>
  <c r="E44" i="97" s="1"/>
  <c r="E140" s="1"/>
  <c r="K79" i="12"/>
  <c r="E43" i="97" s="1"/>
  <c r="E142" s="1"/>
  <c r="K78" i="12"/>
  <c r="E42" i="97" s="1"/>
  <c r="H77" i="12"/>
  <c r="F77"/>
  <c r="K74"/>
  <c r="K73"/>
  <c r="K72"/>
  <c r="K71"/>
  <c r="K70"/>
  <c r="K69"/>
  <c r="E32" i="97" s="1"/>
  <c r="H68" i="12"/>
  <c r="F68"/>
  <c r="K67"/>
  <c r="K66"/>
  <c r="K65"/>
  <c r="K64"/>
  <c r="H63"/>
  <c r="F63"/>
  <c r="F44"/>
  <c r="H44"/>
  <c r="K62"/>
  <c r="K61"/>
  <c r="K60"/>
  <c r="K59"/>
  <c r="K58"/>
  <c r="K57"/>
  <c r="K56"/>
  <c r="K55"/>
  <c r="K54"/>
  <c r="K53"/>
  <c r="K52"/>
  <c r="K51"/>
  <c r="K50"/>
  <c r="K49"/>
  <c r="E30" i="97" s="1"/>
  <c r="F30" s="1"/>
  <c r="K48" i="12"/>
  <c r="E29" i="97" s="1"/>
  <c r="K47" i="12"/>
  <c r="E28" i="97" s="1"/>
  <c r="F28" s="1"/>
  <c r="K46" i="12"/>
  <c r="E27" i="97" s="1"/>
  <c r="K45" i="12"/>
  <c r="E26" i="97" s="1"/>
  <c r="K43" i="12"/>
  <c r="K42"/>
  <c r="K41"/>
  <c r="K40"/>
  <c r="K39"/>
  <c r="K38"/>
  <c r="K37"/>
  <c r="K36"/>
  <c r="E49" i="97" s="1"/>
  <c r="E144" s="1"/>
  <c r="K35" i="12"/>
  <c r="E24" i="97" s="1"/>
  <c r="H34" i="12"/>
  <c r="F34"/>
  <c r="K32"/>
  <c r="K31"/>
  <c r="K30"/>
  <c r="K29"/>
  <c r="K28"/>
  <c r="H27"/>
  <c r="F27"/>
  <c r="K26"/>
  <c r="K25"/>
  <c r="K24"/>
  <c r="K23"/>
  <c r="K22"/>
  <c r="K21"/>
  <c r="K20"/>
  <c r="E21" i="97" s="1"/>
  <c r="E139" s="1"/>
  <c r="K19" i="12"/>
  <c r="K18"/>
  <c r="E20" i="97" s="1"/>
  <c r="E137" s="1"/>
  <c r="K17" i="12"/>
  <c r="E19" i="97" s="1"/>
  <c r="E138" s="1"/>
  <c r="K16" i="12"/>
  <c r="E18" i="97" s="1"/>
  <c r="E136" s="1"/>
  <c r="K15" i="12"/>
  <c r="K14"/>
  <c r="E16" i="97" s="1"/>
  <c r="E159" s="1"/>
  <c r="K13" i="12"/>
  <c r="K12"/>
  <c r="E15" i="97" s="1"/>
  <c r="H11" i="12"/>
  <c r="F11"/>
  <c r="K159"/>
  <c r="K158"/>
  <c r="K157"/>
  <c r="G156"/>
  <c r="E156"/>
  <c r="K155"/>
  <c r="K154"/>
  <c r="K153"/>
  <c r="G152"/>
  <c r="E152"/>
  <c r="F171" i="97" l="1"/>
  <c r="F14"/>
  <c r="F13" s="1"/>
  <c r="F23"/>
  <c r="E161"/>
  <c r="F27"/>
  <c r="E162"/>
  <c r="F29"/>
  <c r="E163"/>
  <c r="E141"/>
  <c r="E135" s="1"/>
  <c r="F41"/>
  <c r="L98" i="12"/>
  <c r="E53" i="97"/>
  <c r="E158"/>
  <c r="F146"/>
  <c r="L27" i="12"/>
  <c r="F25" i="97"/>
  <c r="F22" s="1"/>
  <c r="F33" s="1"/>
  <c r="L63" i="12"/>
  <c r="F45" i="97"/>
  <c r="F50" s="1"/>
  <c r="L102" i="12"/>
  <c r="L105"/>
  <c r="L68"/>
  <c r="L77"/>
  <c r="L11"/>
  <c r="L89"/>
  <c r="L44"/>
  <c r="L34"/>
  <c r="H70" i="41"/>
  <c r="H66"/>
  <c r="H81"/>
  <c r="H74"/>
  <c r="H72"/>
  <c r="H65"/>
  <c r="H82"/>
  <c r="J82"/>
  <c r="J81"/>
  <c r="J74"/>
  <c r="J72"/>
  <c r="J65"/>
  <c r="L70"/>
  <c r="J79"/>
  <c r="L66"/>
  <c r="L81"/>
  <c r="L74"/>
  <c r="L72"/>
  <c r="L65"/>
  <c r="L82"/>
  <c r="H79"/>
  <c r="J66"/>
  <c r="J70"/>
  <c r="F30"/>
  <c r="J30"/>
  <c r="H30"/>
  <c r="D31"/>
  <c r="F31"/>
  <c r="H31"/>
  <c r="F8" i="30"/>
  <c r="D10" i="22"/>
  <c r="F10" s="1"/>
  <c r="K156" i="12"/>
  <c r="K152"/>
  <c r="E21" i="98" l="1"/>
  <c r="E167" i="97"/>
  <c r="E166" s="1"/>
  <c r="F165" s="1"/>
  <c r="F52"/>
  <c r="E192" i="39"/>
  <c r="G192" s="1"/>
  <c r="C192"/>
  <c r="F191"/>
  <c r="H191" s="1"/>
  <c r="C191"/>
  <c r="E190"/>
  <c r="G190" s="1"/>
  <c r="F189"/>
  <c r="H189" s="1"/>
  <c r="E186"/>
  <c r="G186" s="1"/>
  <c r="F185"/>
  <c r="H185" s="1"/>
  <c r="C185"/>
  <c r="F184"/>
  <c r="H184" s="1"/>
  <c r="C184"/>
  <c r="E183"/>
  <c r="G183" s="1"/>
  <c r="E182"/>
  <c r="G182" s="1"/>
  <c r="E181"/>
  <c r="G181" s="1"/>
  <c r="J179"/>
  <c r="G167"/>
  <c r="F165"/>
  <c r="E165"/>
  <c r="D165"/>
  <c r="F164"/>
  <c r="E164"/>
  <c r="D164"/>
  <c r="C164"/>
  <c r="F163"/>
  <c r="E163"/>
  <c r="D163"/>
  <c r="C163"/>
  <c r="F162"/>
  <c r="E162"/>
  <c r="D162"/>
  <c r="F161"/>
  <c r="E161"/>
  <c r="D161"/>
  <c r="C161"/>
  <c r="F160"/>
  <c r="E160"/>
  <c r="D160"/>
  <c r="C160"/>
  <c r="F159"/>
  <c r="E159"/>
  <c r="D159"/>
  <c r="C159"/>
  <c r="F158"/>
  <c r="E158"/>
  <c r="D158"/>
  <c r="F157"/>
  <c r="E157"/>
  <c r="D157"/>
  <c r="F156"/>
  <c r="E156"/>
  <c r="D156"/>
  <c r="F155"/>
  <c r="E155"/>
  <c r="D155"/>
  <c r="F154"/>
  <c r="E154"/>
  <c r="D154"/>
  <c r="F153"/>
  <c r="E153"/>
  <c r="D153"/>
  <c r="F152"/>
  <c r="E152"/>
  <c r="D152"/>
  <c r="D147"/>
  <c r="D146"/>
  <c r="D145"/>
  <c r="C145"/>
  <c r="D144"/>
  <c r="C144"/>
  <c r="D143"/>
  <c r="C143"/>
  <c r="D142"/>
  <c r="C142"/>
  <c r="D141"/>
  <c r="C141"/>
  <c r="D140"/>
  <c r="D138"/>
  <c r="D135"/>
  <c r="C135"/>
  <c r="D134"/>
  <c r="C134"/>
  <c r="D133"/>
  <c r="C133"/>
  <c r="D132"/>
  <c r="D131"/>
  <c r="D130"/>
  <c r="D129"/>
  <c r="E124"/>
  <c r="D123"/>
  <c r="D122"/>
  <c r="C122"/>
  <c r="D121"/>
  <c r="C121"/>
  <c r="D120"/>
  <c r="C120"/>
  <c r="D119"/>
  <c r="C119"/>
  <c r="D118"/>
  <c r="D116"/>
  <c r="F107"/>
  <c r="D92" s="1"/>
  <c r="E174"/>
  <c r="D174"/>
  <c r="H82"/>
  <c r="D82"/>
  <c r="D169" s="1"/>
  <c r="I78"/>
  <c r="F77"/>
  <c r="F79" s="1"/>
  <c r="E77"/>
  <c r="E79" s="1"/>
  <c r="D77"/>
  <c r="D79" s="1"/>
  <c r="D81" s="1"/>
  <c r="D168" s="1"/>
  <c r="G76"/>
  <c r="I76" s="1"/>
  <c r="G75"/>
  <c r="I75" s="1"/>
  <c r="G74"/>
  <c r="I74" s="1"/>
  <c r="G73"/>
  <c r="I73" s="1"/>
  <c r="G72"/>
  <c r="G71"/>
  <c r="D182" s="1"/>
  <c r="G70"/>
  <c r="D192" s="1"/>
  <c r="G69"/>
  <c r="G163" s="1"/>
  <c r="G68"/>
  <c r="G158" s="1"/>
  <c r="G67"/>
  <c r="D191" s="1"/>
  <c r="G66"/>
  <c r="D190" s="1"/>
  <c r="G65"/>
  <c r="D185" s="1"/>
  <c r="G64"/>
  <c r="G160" s="1"/>
  <c r="G63"/>
  <c r="G156" s="1"/>
  <c r="G62"/>
  <c r="D184" s="1"/>
  <c r="G61"/>
  <c r="D181" s="1"/>
  <c r="G60"/>
  <c r="D183" s="1"/>
  <c r="G59"/>
  <c r="D189" s="1"/>
  <c r="E48"/>
  <c r="E50" s="1"/>
  <c r="D48"/>
  <c r="D50" s="1"/>
  <c r="E28"/>
  <c r="E30" s="1"/>
  <c r="D28"/>
  <c r="D30" s="1"/>
  <c r="H21" i="98" l="1"/>
  <c r="E24"/>
  <c r="F174" i="39"/>
  <c r="E128"/>
  <c r="E139"/>
  <c r="E115"/>
  <c r="H115" s="1"/>
  <c r="D193"/>
  <c r="E166"/>
  <c r="D186"/>
  <c r="D187" s="1"/>
  <c r="D194" s="1"/>
  <c r="F166"/>
  <c r="D166"/>
  <c r="D99"/>
  <c r="D104"/>
  <c r="D105"/>
  <c r="D170"/>
  <c r="H128"/>
  <c r="I71"/>
  <c r="F182" s="1"/>
  <c r="H182" s="1"/>
  <c r="I72"/>
  <c r="F186" s="1"/>
  <c r="H186" s="1"/>
  <c r="G157"/>
  <c r="G165"/>
  <c r="F181"/>
  <c r="H181" s="1"/>
  <c r="E184"/>
  <c r="G184" s="1"/>
  <c r="E185"/>
  <c r="G185" s="1"/>
  <c r="F190"/>
  <c r="H190" s="1"/>
  <c r="E191"/>
  <c r="G191" s="1"/>
  <c r="I69"/>
  <c r="I82" s="1"/>
  <c r="I70"/>
  <c r="F192" s="1"/>
  <c r="H192" s="1"/>
  <c r="G77"/>
  <c r="G79" s="1"/>
  <c r="G152"/>
  <c r="G153"/>
  <c r="G154"/>
  <c r="G155"/>
  <c r="G159"/>
  <c r="G161"/>
  <c r="G162"/>
  <c r="G164"/>
  <c r="D91" l="1"/>
  <c r="G82"/>
  <c r="G169" s="1"/>
  <c r="F193"/>
  <c r="H193" s="1"/>
  <c r="E187"/>
  <c r="G187"/>
  <c r="F183"/>
  <c r="H183" s="1"/>
  <c r="I77"/>
  <c r="I79" s="1"/>
  <c r="I81" s="1"/>
  <c r="I84" s="1"/>
  <c r="G84" s="1"/>
  <c r="E189"/>
  <c r="G189" s="1"/>
  <c r="H77"/>
  <c r="H79" s="1"/>
  <c r="H81" s="1"/>
  <c r="G166"/>
  <c r="H83" l="1"/>
  <c r="G83" s="1"/>
  <c r="G81"/>
  <c r="E193"/>
  <c r="G193" s="1"/>
  <c r="G194" s="1"/>
  <c r="G195" s="1"/>
  <c r="E176"/>
  <c r="E175" s="1"/>
  <c r="F104"/>
  <c r="H187"/>
  <c r="H194" s="1"/>
  <c r="H195" s="1"/>
  <c r="F187"/>
  <c r="F194" s="1"/>
  <c r="E194"/>
  <c r="D195" l="1"/>
  <c r="G168"/>
  <c r="D98"/>
  <c r="D100" s="1"/>
  <c r="D90" s="1"/>
  <c r="D176"/>
  <c r="G170"/>
  <c r="G171" s="1"/>
  <c r="D103"/>
  <c r="F103" s="1"/>
  <c r="F176" l="1"/>
  <c r="D175"/>
  <c r="F175" s="1"/>
  <c r="G10" i="37" l="1"/>
  <c r="K56" i="38" l="1"/>
  <c r="K75"/>
  <c r="C75"/>
  <c r="C56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3"/>
  <c r="C2"/>
  <c r="K2"/>
  <c r="C14" i="37"/>
  <c r="C15" s="1"/>
  <c r="D14"/>
  <c r="D15" s="1"/>
  <c r="E14"/>
  <c r="E15" s="1"/>
  <c r="F14"/>
  <c r="F15" s="1"/>
  <c r="B14"/>
  <c r="B15" s="1"/>
  <c r="D274" i="14"/>
  <c r="B274"/>
  <c r="D271"/>
  <c r="E270" s="1"/>
  <c r="B271"/>
  <c r="C270" s="1"/>
  <c r="D258"/>
  <c r="B258"/>
  <c r="D247"/>
  <c r="E246" s="1"/>
  <c r="B247"/>
  <c r="C246" s="1"/>
  <c r="D227"/>
  <c r="B227"/>
  <c r="D222"/>
  <c r="B222"/>
  <c r="D207"/>
  <c r="B207"/>
  <c r="A110"/>
  <c r="A184"/>
  <c r="A204"/>
  <c r="E190"/>
  <c r="C190"/>
  <c r="E188"/>
  <c r="C188"/>
  <c r="E185"/>
  <c r="E193" s="1"/>
  <c r="C185"/>
  <c r="C193" s="1"/>
  <c r="B116"/>
  <c r="C115" s="1"/>
  <c r="D116"/>
  <c r="E115" s="1"/>
  <c r="E151"/>
  <c r="C151"/>
  <c r="E143"/>
  <c r="C143"/>
  <c r="E121"/>
  <c r="C121"/>
  <c r="E111"/>
  <c r="C111"/>
  <c r="E91"/>
  <c r="C91"/>
  <c r="E87"/>
  <c r="C87"/>
  <c r="E85"/>
  <c r="C85"/>
  <c r="E83"/>
  <c r="C83"/>
  <c r="E74"/>
  <c r="C74"/>
  <c r="E64"/>
  <c r="C64"/>
  <c r="E54"/>
  <c r="C54"/>
  <c r="E58"/>
  <c r="C58"/>
  <c r="E36"/>
  <c r="C36"/>
  <c r="E31"/>
  <c r="C31"/>
  <c r="E25"/>
  <c r="C25"/>
  <c r="E12"/>
  <c r="C12"/>
  <c r="B9"/>
  <c r="J6" i="12"/>
  <c r="I6"/>
  <c r="A182" i="14"/>
  <c r="D184"/>
  <c r="B184"/>
  <c r="A199"/>
  <c r="A198"/>
  <c r="D204"/>
  <c r="B204"/>
  <c r="J5" i="12" l="1"/>
  <c r="K88" i="38"/>
  <c r="C88"/>
  <c r="K86"/>
  <c r="C86"/>
  <c r="K82"/>
  <c r="C82"/>
  <c r="C72"/>
  <c r="K72"/>
  <c r="C70"/>
  <c r="K70"/>
  <c r="C68"/>
  <c r="K68"/>
  <c r="C66"/>
  <c r="K66"/>
  <c r="C64"/>
  <c r="K64"/>
  <c r="C62"/>
  <c r="K62"/>
  <c r="C60"/>
  <c r="K60"/>
  <c r="C58"/>
  <c r="K58"/>
  <c r="K54"/>
  <c r="C54"/>
  <c r="K52"/>
  <c r="C52"/>
  <c r="K50"/>
  <c r="C50"/>
  <c r="K48"/>
  <c r="C48"/>
  <c r="C46"/>
  <c r="K46"/>
  <c r="C44"/>
  <c r="K44"/>
  <c r="C42"/>
  <c r="K42"/>
  <c r="C40"/>
  <c r="K40"/>
  <c r="C38"/>
  <c r="K38"/>
  <c r="C36"/>
  <c r="K36"/>
  <c r="C34"/>
  <c r="K34"/>
  <c r="C32"/>
  <c r="K32"/>
  <c r="C30"/>
  <c r="K30"/>
  <c r="K28"/>
  <c r="C28"/>
  <c r="K26"/>
  <c r="C26"/>
  <c r="C22"/>
  <c r="K22"/>
  <c r="C20"/>
  <c r="K20"/>
  <c r="K16"/>
  <c r="C16"/>
  <c r="K14"/>
  <c r="C14"/>
  <c r="K12"/>
  <c r="C12"/>
  <c r="K10"/>
  <c r="C10"/>
  <c r="K8"/>
  <c r="C8"/>
  <c r="K6"/>
  <c r="C6"/>
  <c r="C107" s="1"/>
  <c r="C108" s="1"/>
  <c r="K89"/>
  <c r="C89"/>
  <c r="K87"/>
  <c r="C87"/>
  <c r="K85"/>
  <c r="K84" s="1"/>
  <c r="C85"/>
  <c r="K83"/>
  <c r="C83"/>
  <c r="K81"/>
  <c r="K80" s="1"/>
  <c r="C81"/>
  <c r="K79"/>
  <c r="K78" s="1"/>
  <c r="C79"/>
  <c r="K77"/>
  <c r="C77"/>
  <c r="C73"/>
  <c r="K73"/>
  <c r="C71"/>
  <c r="K71"/>
  <c r="C69"/>
  <c r="K69"/>
  <c r="K65"/>
  <c r="C65"/>
  <c r="K63"/>
  <c r="C63"/>
  <c r="K61"/>
  <c r="C61"/>
  <c r="K59"/>
  <c r="C59"/>
  <c r="K53"/>
  <c r="C53"/>
  <c r="K49"/>
  <c r="C49"/>
  <c r="K45"/>
  <c r="C45"/>
  <c r="K43"/>
  <c r="C43"/>
  <c r="K41"/>
  <c r="C41"/>
  <c r="K39"/>
  <c r="C39"/>
  <c r="K37"/>
  <c r="C37"/>
  <c r="K35"/>
  <c r="C35"/>
  <c r="K33"/>
  <c r="C33"/>
  <c r="K31"/>
  <c r="C31"/>
  <c r="K27"/>
  <c r="C27"/>
  <c r="K25"/>
  <c r="K24" s="1"/>
  <c r="C25"/>
  <c r="C24" s="1"/>
  <c r="C21"/>
  <c r="K21"/>
  <c r="C19"/>
  <c r="K19"/>
  <c r="K18" s="1"/>
  <c r="K17"/>
  <c r="C17"/>
  <c r="K15"/>
  <c r="C15"/>
  <c r="K13"/>
  <c r="C13"/>
  <c r="K11"/>
  <c r="C11"/>
  <c r="K9"/>
  <c r="C9"/>
  <c r="K7"/>
  <c r="C7"/>
  <c r="C192" i="14"/>
  <c r="E192"/>
  <c r="C120"/>
  <c r="E120"/>
  <c r="E142" s="1"/>
  <c r="E166" s="1"/>
  <c r="E168" s="1"/>
  <c r="D206" s="1"/>
  <c r="E205" s="1"/>
  <c r="E277" s="1"/>
  <c r="C142"/>
  <c r="C166" s="1"/>
  <c r="C168" s="1"/>
  <c r="B206" s="1"/>
  <c r="C205" s="1"/>
  <c r="C277" s="1"/>
  <c r="C11"/>
  <c r="E11"/>
  <c r="C30"/>
  <c r="C62" s="1"/>
  <c r="E30"/>
  <c r="E62" s="1"/>
  <c r="C81"/>
  <c r="E81"/>
  <c r="C97"/>
  <c r="C98" s="1"/>
  <c r="C100" s="1"/>
  <c r="E97"/>
  <c r="E98" s="1"/>
  <c r="E100" s="1"/>
  <c r="L129" i="12"/>
  <c r="L69" i="38" l="1"/>
  <c r="L71"/>
  <c r="L73"/>
  <c r="L20"/>
  <c r="L22"/>
  <c r="L32"/>
  <c r="L34"/>
  <c r="L36"/>
  <c r="L38"/>
  <c r="L40"/>
  <c r="L42"/>
  <c r="L44"/>
  <c r="L46"/>
  <c r="L60"/>
  <c r="L62"/>
  <c r="L64"/>
  <c r="L70"/>
  <c r="L7"/>
  <c r="L9"/>
  <c r="L11"/>
  <c r="L13"/>
  <c r="L15"/>
  <c r="L17"/>
  <c r="L27"/>
  <c r="L31"/>
  <c r="L33"/>
  <c r="L35"/>
  <c r="L37"/>
  <c r="L39"/>
  <c r="L41"/>
  <c r="L43"/>
  <c r="L45"/>
  <c r="L49"/>
  <c r="L53"/>
  <c r="L59"/>
  <c r="L87"/>
  <c r="C109"/>
  <c r="L82"/>
  <c r="L86"/>
  <c r="L88"/>
  <c r="C18"/>
  <c r="L19"/>
  <c r="K76"/>
  <c r="K90" s="1"/>
  <c r="C29"/>
  <c r="L30"/>
  <c r="L29" s="1"/>
  <c r="L58"/>
  <c r="C57"/>
  <c r="L68"/>
  <c r="C67"/>
  <c r="L21"/>
  <c r="K5"/>
  <c r="K4" s="1"/>
  <c r="K47"/>
  <c r="K51"/>
  <c r="L66"/>
  <c r="L72"/>
  <c r="C76"/>
  <c r="L77"/>
  <c r="L76" s="1"/>
  <c r="C78"/>
  <c r="L79"/>
  <c r="L78" s="1"/>
  <c r="L81"/>
  <c r="C80"/>
  <c r="L85"/>
  <c r="C84"/>
  <c r="C5"/>
  <c r="L6"/>
  <c r="L48"/>
  <c r="C47"/>
  <c r="L52"/>
  <c r="C51"/>
  <c r="L61"/>
  <c r="L63"/>
  <c r="L65"/>
  <c r="L83"/>
  <c r="L89"/>
  <c r="L8"/>
  <c r="L10"/>
  <c r="L12"/>
  <c r="L14"/>
  <c r="L16"/>
  <c r="L26"/>
  <c r="L28"/>
  <c r="K29"/>
  <c r="K23" s="1"/>
  <c r="L50"/>
  <c r="L54"/>
  <c r="K57"/>
  <c r="K67"/>
  <c r="L25"/>
  <c r="L24" s="1"/>
  <c r="A125" i="12"/>
  <c r="A124"/>
  <c r="A127"/>
  <c r="K218"/>
  <c r="K217"/>
  <c r="C217"/>
  <c r="K216"/>
  <c r="C216"/>
  <c r="K215"/>
  <c r="C215"/>
  <c r="K214"/>
  <c r="C214"/>
  <c r="K213"/>
  <c r="C213"/>
  <c r="K212"/>
  <c r="C212"/>
  <c r="K211"/>
  <c r="C211"/>
  <c r="K210"/>
  <c r="C210"/>
  <c r="K209"/>
  <c r="B18" i="29"/>
  <c r="K208" i="12"/>
  <c r="E89" i="97" s="1"/>
  <c r="B17" i="29"/>
  <c r="H207" i="12"/>
  <c r="F207"/>
  <c r="K206"/>
  <c r="K205"/>
  <c r="B13" i="29"/>
  <c r="K204" i="12"/>
  <c r="B12" i="29"/>
  <c r="K203" i="12"/>
  <c r="B11" i="29"/>
  <c r="K202" i="12"/>
  <c r="B10" i="29"/>
  <c r="K201" i="12"/>
  <c r="B9" i="29"/>
  <c r="K200" i="12"/>
  <c r="B8" i="29"/>
  <c r="H199" i="12"/>
  <c r="F199"/>
  <c r="K197"/>
  <c r="K182"/>
  <c r="B27" i="31"/>
  <c r="K181" i="12"/>
  <c r="B26" i="31"/>
  <c r="K180" i="12"/>
  <c r="B25" i="31"/>
  <c r="K179" i="12"/>
  <c r="B24" i="31"/>
  <c r="K178" i="12"/>
  <c r="B23" i="31"/>
  <c r="K177" i="12"/>
  <c r="B22" i="31"/>
  <c r="K176" i="12"/>
  <c r="B21" i="31"/>
  <c r="K175" i="12"/>
  <c r="B20" i="31"/>
  <c r="K174" i="12"/>
  <c r="B19" i="31"/>
  <c r="K173" i="12"/>
  <c r="B18" i="31"/>
  <c r="K172" i="12"/>
  <c r="B17" i="31"/>
  <c r="K171" i="12"/>
  <c r="D23" i="100" s="1"/>
  <c r="B16" i="31"/>
  <c r="K170" i="12"/>
  <c r="D22" i="100" s="1"/>
  <c r="B15" i="31"/>
  <c r="K169" i="12"/>
  <c r="D21" i="100" s="1"/>
  <c r="B14" i="31"/>
  <c r="K168" i="12"/>
  <c r="B13" i="31"/>
  <c r="K167" i="12"/>
  <c r="B12" i="31"/>
  <c r="K166" i="12"/>
  <c r="D6" i="100" s="1"/>
  <c r="B11" i="31"/>
  <c r="K165" i="12"/>
  <c r="B10" i="31"/>
  <c r="K164" i="12"/>
  <c r="D14" i="100" s="1"/>
  <c r="B9" i="31"/>
  <c r="K163" i="12"/>
  <c r="D13" i="100" s="1"/>
  <c r="B8" i="31"/>
  <c r="K162" i="12"/>
  <c r="B7" i="31"/>
  <c r="H161" i="12"/>
  <c r="F161"/>
  <c r="K151"/>
  <c r="K150"/>
  <c r="K149"/>
  <c r="G148"/>
  <c r="H147" s="1"/>
  <c r="E148"/>
  <c r="F147" s="1"/>
  <c r="K146"/>
  <c r="B9" i="28"/>
  <c r="K132" i="12"/>
  <c r="K131"/>
  <c r="H130"/>
  <c r="H160" s="1"/>
  <c r="F130"/>
  <c r="D8" i="18" s="1"/>
  <c r="B21" s="1"/>
  <c r="A7" i="37"/>
  <c r="A4"/>
  <c r="A3"/>
  <c r="G19"/>
  <c r="G18"/>
  <c r="G17"/>
  <c r="G16"/>
  <c r="F20"/>
  <c r="E20"/>
  <c r="D20"/>
  <c r="C20"/>
  <c r="B20"/>
  <c r="A202" i="14"/>
  <c r="D110"/>
  <c r="B110"/>
  <c r="A108"/>
  <c r="A105"/>
  <c r="A104"/>
  <c r="D9"/>
  <c r="A7"/>
  <c r="A4"/>
  <c r="A3"/>
  <c r="A1" i="36"/>
  <c r="A1" i="35"/>
  <c r="A1" i="34"/>
  <c r="A1" i="32"/>
  <c r="A1" i="29"/>
  <c r="A1" i="31"/>
  <c r="A1" i="30"/>
  <c r="A1" i="28"/>
  <c r="B28" i="27"/>
  <c r="B27"/>
  <c r="B26"/>
  <c r="B25"/>
  <c r="A25"/>
  <c r="A24"/>
  <c r="A23"/>
  <c r="A22"/>
  <c r="A21"/>
  <c r="B18"/>
  <c r="A18"/>
  <c r="A17"/>
  <c r="A15"/>
  <c r="A13"/>
  <c r="A11"/>
  <c r="A10"/>
  <c r="A8"/>
  <c r="A7"/>
  <c r="A1"/>
  <c r="A1" i="26"/>
  <c r="A1" i="25"/>
  <c r="A1" i="24"/>
  <c r="A1" i="23"/>
  <c r="A1" i="22"/>
  <c r="B7" i="21"/>
  <c r="A1"/>
  <c r="A1" i="20"/>
  <c r="A1" i="4"/>
  <c r="A1" i="2"/>
  <c r="A1" i="1"/>
  <c r="A1" i="6"/>
  <c r="A3" i="8"/>
  <c r="K2"/>
  <c r="J2"/>
  <c r="A1"/>
  <c r="L8" i="12"/>
  <c r="A6"/>
  <c r="A4"/>
  <c r="A3"/>
  <c r="A1" i="18"/>
  <c r="I36" i="8"/>
  <c r="E36"/>
  <c r="M25"/>
  <c r="N25" s="1"/>
  <c r="L25"/>
  <c r="K25"/>
  <c r="J25"/>
  <c r="I25"/>
  <c r="E25"/>
  <c r="C112" i="12"/>
  <c r="C111"/>
  <c r="B24" i="27" s="1"/>
  <c r="C110" i="12"/>
  <c r="B23" i="27" s="1"/>
  <c r="B22"/>
  <c r="C104" i="12"/>
  <c r="B15" i="27" s="1"/>
  <c r="C103" i="12"/>
  <c r="B14" i="27" s="1"/>
  <c r="C101" i="12"/>
  <c r="B11" i="27" s="1"/>
  <c r="B8"/>
  <c r="C94" i="12"/>
  <c r="C93"/>
  <c r="B7" i="25"/>
  <c r="B7" i="26"/>
  <c r="B9" i="23"/>
  <c r="C88" i="12"/>
  <c r="C87"/>
  <c r="B8" i="23" s="1"/>
  <c r="C86" i="12"/>
  <c r="B12" i="24" s="1"/>
  <c r="C85" i="12"/>
  <c r="B11" i="24" s="1"/>
  <c r="C84" i="12"/>
  <c r="B7" i="23" s="1"/>
  <c r="C83" i="12"/>
  <c r="B10" i="24" s="1"/>
  <c r="C82" i="12"/>
  <c r="B9" i="24" s="1"/>
  <c r="B8"/>
  <c r="B7"/>
  <c r="B8" i="22"/>
  <c r="B7"/>
  <c r="C64" i="12"/>
  <c r="C62"/>
  <c r="C61"/>
  <c r="C60"/>
  <c r="C59"/>
  <c r="C58"/>
  <c r="C57"/>
  <c r="C56"/>
  <c r="C55"/>
  <c r="C54"/>
  <c r="C53"/>
  <c r="C52"/>
  <c r="C51"/>
  <c r="C50"/>
  <c r="B12" i="5"/>
  <c r="B9"/>
  <c r="B11"/>
  <c r="B8"/>
  <c r="B7"/>
  <c r="C43" i="12"/>
  <c r="B10" i="6" s="1"/>
  <c r="C42" i="12"/>
  <c r="B12" i="4" s="1"/>
  <c r="C41" i="12"/>
  <c r="B9" i="6" s="1"/>
  <c r="C40" i="12"/>
  <c r="B11" i="4" s="1"/>
  <c r="C39" i="12"/>
  <c r="B10" i="4" s="1"/>
  <c r="C38" i="12"/>
  <c r="B9" i="4" s="1"/>
  <c r="C37" i="12"/>
  <c r="B8" i="4" s="1"/>
  <c r="B7"/>
  <c r="B11" i="7"/>
  <c r="C32" i="12"/>
  <c r="C31"/>
  <c r="B10" i="3" s="1"/>
  <c r="C30" i="12"/>
  <c r="B9" i="3" s="1"/>
  <c r="C29" i="12"/>
  <c r="B8" i="3" s="1"/>
  <c r="C28" i="12"/>
  <c r="B7" i="3" s="1"/>
  <c r="C26" i="12"/>
  <c r="B13" i="2" s="1"/>
  <c r="C25" i="12"/>
  <c r="B12" i="2" s="1"/>
  <c r="C24" i="12"/>
  <c r="B11" i="2" s="1"/>
  <c r="C23" i="12"/>
  <c r="B10" i="2" s="1"/>
  <c r="C22" i="12"/>
  <c r="B9" i="2" s="1"/>
  <c r="C21" i="12"/>
  <c r="B7" i="2"/>
  <c r="B10" i="1"/>
  <c r="B9"/>
  <c r="B8"/>
  <c r="B7"/>
  <c r="B10" i="7"/>
  <c r="B9"/>
  <c r="B8"/>
  <c r="B7"/>
  <c r="E279" i="14"/>
  <c r="C278" s="1"/>
  <c r="N132" i="12" l="1"/>
  <c r="E80" i="97"/>
  <c r="F15" i="99" s="1"/>
  <c r="F8" s="1"/>
  <c r="F21" s="1"/>
  <c r="F23" s="1"/>
  <c r="O146" i="12"/>
  <c r="O130" s="1"/>
  <c r="E78" i="97"/>
  <c r="N197" i="12"/>
  <c r="D53" i="100"/>
  <c r="E129" i="97"/>
  <c r="E128" s="1"/>
  <c r="N131" i="12"/>
  <c r="E75" i="97"/>
  <c r="D12" i="100"/>
  <c r="D15" s="1"/>
  <c r="L162" i="12"/>
  <c r="E84" i="97" s="1"/>
  <c r="E18" i="99" s="1"/>
  <c r="D5" i="100"/>
  <c r="D7" s="1"/>
  <c r="L165" i="12"/>
  <c r="E83" i="97" s="1"/>
  <c r="D20" i="100"/>
  <c r="L168" i="12"/>
  <c r="E85" i="97" s="1"/>
  <c r="E19" i="99" s="1"/>
  <c r="N173" i="12"/>
  <c r="D29" i="100"/>
  <c r="L173" i="12"/>
  <c r="E86" i="97" s="1"/>
  <c r="E20" i="99" s="1"/>
  <c r="N174" i="12"/>
  <c r="D30" i="100"/>
  <c r="N175" i="12"/>
  <c r="D31" i="100"/>
  <c r="N176" i="12"/>
  <c r="D32" i="100"/>
  <c r="N177" i="12"/>
  <c r="D33" i="100"/>
  <c r="N178" i="12"/>
  <c r="D34" i="100"/>
  <c r="N179" i="12"/>
  <c r="D35" i="100"/>
  <c r="N180" i="12"/>
  <c r="D36" i="100"/>
  <c r="N181" i="12"/>
  <c r="D37" i="100"/>
  <c r="N182" i="12"/>
  <c r="D38" i="100"/>
  <c r="E22" i="99"/>
  <c r="F88" i="97"/>
  <c r="D24" i="100"/>
  <c r="N130" i="12"/>
  <c r="L161"/>
  <c r="N161"/>
  <c r="M26" i="8"/>
  <c r="J26"/>
  <c r="I26"/>
  <c r="L130" i="12"/>
  <c r="E83" i="66" s="1"/>
  <c r="F105" i="70" s="1"/>
  <c r="G105" s="1"/>
  <c r="B8" i="28"/>
  <c r="D15" i="30"/>
  <c r="H11"/>
  <c r="D14" i="29"/>
  <c r="D7" i="30"/>
  <c r="D11"/>
  <c r="H7"/>
  <c r="H15"/>
  <c r="H14" i="29"/>
  <c r="D9" i="28"/>
  <c r="H9"/>
  <c r="D8" i="29"/>
  <c r="H8"/>
  <c r="D9"/>
  <c r="H9"/>
  <c r="D10"/>
  <c r="H10"/>
  <c r="D11"/>
  <c r="H11"/>
  <c r="D12"/>
  <c r="H12"/>
  <c r="D13"/>
  <c r="H13"/>
  <c r="F160" i="12"/>
  <c r="H198"/>
  <c r="H219" s="1"/>
  <c r="H221" s="1"/>
  <c r="G116" s="1"/>
  <c r="B8" i="2"/>
  <c r="D8" s="1"/>
  <c r="D10" i="26"/>
  <c r="D9"/>
  <c r="D8"/>
  <c r="D9" i="22"/>
  <c r="J14" i="2"/>
  <c r="J8" i="6"/>
  <c r="J7"/>
  <c r="J10" i="26"/>
  <c r="J9"/>
  <c r="F9" s="1"/>
  <c r="J8"/>
  <c r="J9" i="22"/>
  <c r="D14" i="2"/>
  <c r="D8" i="6"/>
  <c r="D7"/>
  <c r="J9" i="20"/>
  <c r="J19" i="27"/>
  <c r="J10" i="20"/>
  <c r="D19" i="27"/>
  <c r="D10" i="23"/>
  <c r="D10" i="20"/>
  <c r="J7"/>
  <c r="J8"/>
  <c r="J10" i="23"/>
  <c r="D7" i="20"/>
  <c r="D9"/>
  <c r="F9" s="1"/>
  <c r="D8"/>
  <c r="D17" i="29"/>
  <c r="H17"/>
  <c r="D18"/>
  <c r="H18"/>
  <c r="F198" i="12"/>
  <c r="F219" s="1"/>
  <c r="F221" s="1"/>
  <c r="L51" i="38"/>
  <c r="L47"/>
  <c r="L84"/>
  <c r="L80"/>
  <c r="L67"/>
  <c r="L57"/>
  <c r="L74" s="1"/>
  <c r="L18"/>
  <c r="L23"/>
  <c r="L5"/>
  <c r="L4" s="1"/>
  <c r="L90"/>
  <c r="L91" s="1"/>
  <c r="L199" i="12"/>
  <c r="L207"/>
  <c r="D26" i="27"/>
  <c r="J28"/>
  <c r="J27"/>
  <c r="D27"/>
  <c r="J7" i="21"/>
  <c r="D7"/>
  <c r="C4" i="38"/>
  <c r="C90"/>
  <c r="C74"/>
  <c r="K55"/>
  <c r="K92" s="1"/>
  <c r="K74"/>
  <c r="K91" s="1"/>
  <c r="C23"/>
  <c r="J7" i="7"/>
  <c r="D7"/>
  <c r="J8"/>
  <c r="E56" i="79" s="1"/>
  <c r="D8" i="7"/>
  <c r="J9"/>
  <c r="E70" i="79" s="1"/>
  <c r="D9" i="7"/>
  <c r="J10"/>
  <c r="E77" i="79" s="1"/>
  <c r="D10" i="7"/>
  <c r="J11"/>
  <c r="E82" i="79" s="1"/>
  <c r="D11" i="7"/>
  <c r="H7" i="31"/>
  <c r="D7"/>
  <c r="H8"/>
  <c r="D8"/>
  <c r="H9"/>
  <c r="D9"/>
  <c r="H10"/>
  <c r="D10"/>
  <c r="H11"/>
  <c r="D11"/>
  <c r="H12"/>
  <c r="D12"/>
  <c r="H13"/>
  <c r="D13"/>
  <c r="H14"/>
  <c r="D14"/>
  <c r="H15"/>
  <c r="D15"/>
  <c r="H16"/>
  <c r="D16"/>
  <c r="H17"/>
  <c r="D17"/>
  <c r="H18"/>
  <c r="D18"/>
  <c r="H19"/>
  <c r="D19"/>
  <c r="H20"/>
  <c r="D20"/>
  <c r="H21"/>
  <c r="D21"/>
  <c r="H22"/>
  <c r="D22"/>
  <c r="H23"/>
  <c r="D23"/>
  <c r="H24"/>
  <c r="D24"/>
  <c r="H25"/>
  <c r="D25"/>
  <c r="H26"/>
  <c r="D26"/>
  <c r="H27"/>
  <c r="D27"/>
  <c r="H42"/>
  <c r="D42"/>
  <c r="J7" i="5"/>
  <c r="D7"/>
  <c r="J8"/>
  <c r="D8"/>
  <c r="J11"/>
  <c r="D11"/>
  <c r="J9"/>
  <c r="D9"/>
  <c r="J12"/>
  <c r="D12"/>
  <c r="J7" i="4"/>
  <c r="D7"/>
  <c r="J8"/>
  <c r="D8"/>
  <c r="J9"/>
  <c r="D9"/>
  <c r="J10"/>
  <c r="D10"/>
  <c r="J11"/>
  <c r="D11"/>
  <c r="J12"/>
  <c r="D12"/>
  <c r="J7" i="2"/>
  <c r="D7"/>
  <c r="J9"/>
  <c r="D9"/>
  <c r="J10"/>
  <c r="D10"/>
  <c r="J11"/>
  <c r="D11"/>
  <c r="J12"/>
  <c r="D12"/>
  <c r="J13"/>
  <c r="D13"/>
  <c r="J8" i="27"/>
  <c r="J7" s="1"/>
  <c r="D8"/>
  <c r="J11"/>
  <c r="J10" s="1"/>
  <c r="D11"/>
  <c r="J14"/>
  <c r="J13" s="1"/>
  <c r="D14"/>
  <c r="J15"/>
  <c r="D15"/>
  <c r="D22"/>
  <c r="J22"/>
  <c r="J23"/>
  <c r="D23"/>
  <c r="J24"/>
  <c r="D24"/>
  <c r="J18"/>
  <c r="J17" s="1"/>
  <c r="D18"/>
  <c r="J7" i="26"/>
  <c r="D7"/>
  <c r="J7" i="25"/>
  <c r="M24" i="86" s="1"/>
  <c r="D7" i="25"/>
  <c r="J8"/>
  <c r="D8"/>
  <c r="J7" i="24"/>
  <c r="D7"/>
  <c r="J8"/>
  <c r="D8"/>
  <c r="J9"/>
  <c r="D9"/>
  <c r="J10"/>
  <c r="D10"/>
  <c r="J11"/>
  <c r="D11"/>
  <c r="J12"/>
  <c r="D12"/>
  <c r="J7" i="23"/>
  <c r="D7"/>
  <c r="J8"/>
  <c r="D8"/>
  <c r="J9"/>
  <c r="D9"/>
  <c r="J7" i="22"/>
  <c r="D7"/>
  <c r="J8"/>
  <c r="D8"/>
  <c r="J7" i="3"/>
  <c r="D7"/>
  <c r="J8"/>
  <c r="D8"/>
  <c r="J9"/>
  <c r="D9"/>
  <c r="J10"/>
  <c r="D10"/>
  <c r="J7" i="1"/>
  <c r="D7"/>
  <c r="J8"/>
  <c r="D8"/>
  <c r="J9"/>
  <c r="D9"/>
  <c r="J10"/>
  <c r="D10"/>
  <c r="J9" i="6"/>
  <c r="D9"/>
  <c r="J10"/>
  <c r="D10"/>
  <c r="K148" i="12"/>
  <c r="I37" i="8"/>
  <c r="F94" i="12"/>
  <c r="F95" s="1"/>
  <c r="H94"/>
  <c r="H95" s="1"/>
  <c r="L220"/>
  <c r="G11" i="37"/>
  <c r="G12"/>
  <c r="G13"/>
  <c r="G15"/>
  <c r="G20" s="1"/>
  <c r="F7" i="28"/>
  <c r="C279" i="14"/>
  <c r="E17" i="99" l="1"/>
  <c r="E16" s="1"/>
  <c r="F82" i="97"/>
  <c r="G14" i="37"/>
  <c r="D54" i="100"/>
  <c r="F74" i="97"/>
  <c r="F87" s="1"/>
  <c r="F90" s="1"/>
  <c r="E12" i="99"/>
  <c r="E8" s="1"/>
  <c r="E21" s="1"/>
  <c r="E23" s="1"/>
  <c r="F19" i="27"/>
  <c r="N221" i="12"/>
  <c r="C2" i="95" s="1"/>
  <c r="C4"/>
  <c r="J8" i="2"/>
  <c r="F9" i="22"/>
  <c r="F14" i="29"/>
  <c r="F83" i="66"/>
  <c r="F8" i="20"/>
  <c r="F7"/>
  <c r="F10"/>
  <c r="F8" i="26"/>
  <c r="F10"/>
  <c r="D16" i="29"/>
  <c r="D7"/>
  <c r="F13"/>
  <c r="F12"/>
  <c r="F9" i="28"/>
  <c r="F11" i="29"/>
  <c r="F10"/>
  <c r="F9"/>
  <c r="H43" i="31"/>
  <c r="F17" i="29"/>
  <c r="H16"/>
  <c r="F8"/>
  <c r="F7" s="1"/>
  <c r="H7"/>
  <c r="D8" i="28"/>
  <c r="D10" s="1"/>
  <c r="H8"/>
  <c r="F18" i="29"/>
  <c r="F8" i="6"/>
  <c r="E116" i="12"/>
  <c r="D12" i="18"/>
  <c r="F10" i="23"/>
  <c r="F7" i="6"/>
  <c r="F14" i="2"/>
  <c r="F7" i="7"/>
  <c r="F7" i="21"/>
  <c r="F27" i="27"/>
  <c r="D21"/>
  <c r="F10" i="6"/>
  <c r="F9"/>
  <c r="F10" i="1"/>
  <c r="F9"/>
  <c r="F8"/>
  <c r="F7"/>
  <c r="F8" i="22"/>
  <c r="F7"/>
  <c r="F9" i="23"/>
  <c r="F8"/>
  <c r="F7"/>
  <c r="F12" i="24"/>
  <c r="F11"/>
  <c r="F10"/>
  <c r="F9"/>
  <c r="F8"/>
  <c r="F7"/>
  <c r="F7" i="26"/>
  <c r="F13" i="2"/>
  <c r="F12"/>
  <c r="F11"/>
  <c r="F10"/>
  <c r="F9"/>
  <c r="F8"/>
  <c r="F7"/>
  <c r="F12" i="4"/>
  <c r="F11"/>
  <c r="F10"/>
  <c r="F9"/>
  <c r="F8"/>
  <c r="F7"/>
  <c r="F12" i="5"/>
  <c r="F9"/>
  <c r="F11"/>
  <c r="F8"/>
  <c r="F7"/>
  <c r="F11" i="7"/>
  <c r="F10"/>
  <c r="F9"/>
  <c r="F8"/>
  <c r="C91" i="38"/>
  <c r="L55"/>
  <c r="L92" s="1"/>
  <c r="F24" i="27"/>
  <c r="F23"/>
  <c r="F15"/>
  <c r="F8" i="25"/>
  <c r="F7"/>
  <c r="F10" i="3"/>
  <c r="F9"/>
  <c r="F8"/>
  <c r="F7"/>
  <c r="J7" i="31"/>
  <c r="F42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C55" i="38"/>
  <c r="F7" i="31"/>
  <c r="D43"/>
  <c r="J42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F18" i="27"/>
  <c r="D17"/>
  <c r="J21"/>
  <c r="F22"/>
  <c r="F14"/>
  <c r="D13"/>
  <c r="F11"/>
  <c r="D10"/>
  <c r="F8"/>
  <c r="D7"/>
  <c r="L147" i="12"/>
  <c r="L160" s="1"/>
  <c r="L198" s="1"/>
  <c r="L219" s="1"/>
  <c r="E22" i="71" s="1"/>
  <c r="H11" i="39" s="1"/>
  <c r="L95" i="12"/>
  <c r="H33"/>
  <c r="F33"/>
  <c r="L33"/>
  <c r="H10"/>
  <c r="F10"/>
  <c r="L10"/>
  <c r="G20" i="98" l="1"/>
  <c r="E109" i="97"/>
  <c r="F24" i="99"/>
  <c r="C7" i="95"/>
  <c r="F43" i="31"/>
  <c r="F16" i="29"/>
  <c r="E113" i="12"/>
  <c r="D28" i="27"/>
  <c r="F28" s="1"/>
  <c r="F8" i="28"/>
  <c r="F10" s="1"/>
  <c r="H10"/>
  <c r="L221" i="12"/>
  <c r="M224" s="1"/>
  <c r="C92" i="38"/>
  <c r="L75" i="12"/>
  <c r="F75"/>
  <c r="H75"/>
  <c r="H20" i="98" l="1"/>
  <c r="G24"/>
  <c r="H24" s="1"/>
  <c r="E126" i="97"/>
  <c r="F125" s="1"/>
  <c r="F169" s="1"/>
  <c r="F106"/>
  <c r="F110" s="1"/>
  <c r="G114" i="12"/>
  <c r="F108"/>
  <c r="F117" s="1"/>
  <c r="D25" i="27"/>
  <c r="D7" i="18"/>
  <c r="D9" s="1"/>
  <c r="K116" i="12"/>
  <c r="K114" l="1"/>
  <c r="K113" s="1"/>
  <c r="J26" i="27"/>
  <c r="F26" s="1"/>
  <c r="G113" i="12"/>
  <c r="D10" i="18"/>
  <c r="F118" i="12"/>
  <c r="F119" s="1"/>
  <c r="B39" i="18"/>
  <c r="H9"/>
  <c r="E113" i="39"/>
  <c r="E148" s="1"/>
  <c r="L108" i="12" l="1"/>
  <c r="L117" s="1"/>
  <c r="L118" s="1"/>
  <c r="L119" s="1"/>
  <c r="E57" i="97"/>
  <c r="F56" s="1"/>
  <c r="F58" s="1"/>
  <c r="L6" i="12"/>
  <c r="H108"/>
  <c r="H117" s="1"/>
  <c r="H118" s="1"/>
  <c r="H119" s="1"/>
  <c r="J25" i="27"/>
  <c r="F25" s="1"/>
  <c r="H23" i="18"/>
  <c r="F21"/>
  <c r="H21"/>
  <c r="D21"/>
  <c r="D23"/>
  <c r="F14"/>
  <c r="H39"/>
  <c r="H40"/>
  <c r="F23"/>
  <c r="D39" i="70"/>
  <c r="F59" i="97" l="1"/>
  <c r="F60" s="1"/>
  <c r="H25" i="98"/>
  <c r="F15" i="18"/>
  <c r="F17"/>
  <c r="F16"/>
  <c r="D41" i="70"/>
  <c r="E69" s="1"/>
  <c r="E51"/>
  <c r="F51" s="1"/>
  <c r="F69" l="1"/>
  <c r="G69" s="1"/>
  <c r="H69" s="1"/>
  <c r="D72" s="1"/>
  <c r="F72" s="1"/>
  <c r="H72" s="1"/>
  <c r="G10" s="1"/>
  <c r="D8"/>
  <c r="G16" l="1"/>
  <c r="G57" i="71"/>
  <c r="G83" s="1"/>
  <c r="E24" s="1"/>
  <c r="H13" i="39" s="1"/>
  <c r="D55" i="71"/>
  <c r="D83" s="1"/>
  <c r="E23" s="1"/>
  <c r="H12" i="39" s="1"/>
  <c r="D16" i="70"/>
  <c r="H14" i="39" l="1"/>
  <c r="H16" s="1"/>
  <c r="H17" s="1"/>
  <c r="E25" i="71"/>
  <c r="E149" i="39" l="1"/>
  <c r="H24"/>
  <c r="D89" s="1"/>
  <c r="D94" s="1"/>
  <c r="H22"/>
  <c r="D177" i="70"/>
  <c r="D180" l="1"/>
  <c r="F178" s="1"/>
  <c r="F177" l="1"/>
  <c r="F180"/>
  <c r="G169" l="1"/>
  <c r="H169" s="1"/>
  <c r="F179"/>
  <c r="D186" l="1"/>
  <c r="D187" l="1"/>
  <c r="F184"/>
  <c r="G170" s="1"/>
  <c r="H170" s="1"/>
  <c r="F187"/>
  <c r="F186" l="1"/>
  <c r="D192" s="1"/>
  <c r="F191" s="1"/>
  <c r="G171" s="1"/>
  <c r="H171" l="1"/>
  <c r="H172" s="1"/>
  <c r="G172"/>
  <c r="F193"/>
  <c r="D193"/>
  <c r="D197" s="1"/>
  <c r="E197" s="1"/>
  <c r="E26" i="71" s="1"/>
  <c r="E27"/>
  <c r="E28" l="1"/>
  <c r="E32" s="1"/>
  <c r="E33" l="1"/>
  <c r="E34"/>
  <c r="E36" l="1"/>
  <c r="E39" s="1"/>
  <c r="E47" s="1"/>
  <c r="E48"/>
  <c r="E49" s="1"/>
  <c r="E50" l="1"/>
</calcChain>
</file>

<file path=xl/comments1.xml><?xml version="1.0" encoding="utf-8"?>
<comments xmlns="http://schemas.openxmlformats.org/spreadsheetml/2006/main">
  <authors>
    <author>김병주</author>
  </authors>
  <commentList>
    <comment ref="C16" authorId="0">
      <text>
        <r>
          <rPr>
            <b/>
            <sz val="9"/>
            <color indexed="81"/>
            <rFont val="돋움"/>
            <family val="3"/>
            <charset val="129"/>
          </rPr>
          <t>건물에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수익적지출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차감한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</text>
    </comment>
  </commentList>
</comments>
</file>

<file path=xl/sharedStrings.xml><?xml version="1.0" encoding="utf-8"?>
<sst xmlns="http://schemas.openxmlformats.org/spreadsheetml/2006/main" count="19695" uniqueCount="5664">
  <si>
    <t>Date</t>
    <phoneticPr fontId="5" type="noConversion"/>
  </si>
  <si>
    <t>Signature</t>
    <phoneticPr fontId="5" type="noConversion"/>
  </si>
  <si>
    <t>1.</t>
    <phoneticPr fontId="7" type="noConversion"/>
  </si>
  <si>
    <t>2.</t>
    <phoneticPr fontId="7" type="noConversion"/>
  </si>
  <si>
    <t>3.</t>
    <phoneticPr fontId="7" type="noConversion"/>
  </si>
  <si>
    <t xml:space="preserve">                     </t>
  </si>
  <si>
    <t>유동자산</t>
  </si>
  <si>
    <t>유동부채</t>
  </si>
  <si>
    <t>이자비용</t>
  </si>
  <si>
    <t>구분</t>
  </si>
  <si>
    <t>감가상각비</t>
  </si>
  <si>
    <t>미수수익</t>
  </si>
  <si>
    <t>기말잔액</t>
  </si>
  <si>
    <t>일 시 적 차 이</t>
  </si>
  <si>
    <t>이연법인세자산(부채)</t>
  </si>
  <si>
    <t>유동성</t>
  </si>
  <si>
    <t>비유동성</t>
  </si>
  <si>
    <t>&lt; 차감할 일시적차이 &gt;</t>
  </si>
  <si>
    <t>&lt; 가산할 일시적차이 &gt;</t>
  </si>
  <si>
    <t>퇴직보험예치금</t>
  </si>
  <si>
    <r>
      <t>(</t>
    </r>
    <r>
      <rPr>
        <sz val="10"/>
        <rFont val="바탕"/>
        <family val="1"/>
        <charset val="129"/>
      </rPr>
      <t>단위</t>
    </r>
    <r>
      <rPr>
        <sz val="10"/>
        <rFont val="Times New Roman"/>
        <family val="1"/>
      </rPr>
      <t xml:space="preserve"> : </t>
    </r>
    <r>
      <rPr>
        <sz val="10"/>
        <rFont val="바탕"/>
        <family val="1"/>
        <charset val="129"/>
      </rPr>
      <t>원</t>
    </r>
    <r>
      <rPr>
        <sz val="10"/>
        <rFont val="Times New Roman"/>
        <family val="1"/>
      </rPr>
      <t>)</t>
    </r>
    <phoneticPr fontId="5" type="noConversion"/>
  </si>
  <si>
    <r>
      <t>과</t>
    </r>
    <r>
      <rPr>
        <sz val="10"/>
        <rFont val="Times New Roman"/>
        <family val="1"/>
      </rPr>
      <t xml:space="preserve">                       </t>
    </r>
    <r>
      <rPr>
        <sz val="10"/>
        <rFont val="바탕"/>
        <family val="1"/>
        <charset val="129"/>
      </rPr>
      <t>목</t>
    </r>
  </si>
  <si>
    <t>I.</t>
  </si>
  <si>
    <t>(1)</t>
  </si>
  <si>
    <t>당좌자산</t>
  </si>
  <si>
    <t>1.</t>
  </si>
  <si>
    <t>2.</t>
    <phoneticPr fontId="5" type="noConversion"/>
  </si>
  <si>
    <t>3.</t>
    <phoneticPr fontId="5" type="noConversion"/>
  </si>
  <si>
    <t>4.</t>
    <phoneticPr fontId="5" type="noConversion"/>
  </si>
  <si>
    <t>5.</t>
    <phoneticPr fontId="5" type="noConversion"/>
  </si>
  <si>
    <t>6.</t>
    <phoneticPr fontId="5" type="noConversion"/>
  </si>
  <si>
    <t>7.</t>
    <phoneticPr fontId="5" type="noConversion"/>
  </si>
  <si>
    <t>8.</t>
    <phoneticPr fontId="5" type="noConversion"/>
  </si>
  <si>
    <t>(2)</t>
  </si>
  <si>
    <t>2.</t>
  </si>
  <si>
    <t>3.</t>
  </si>
  <si>
    <t>4.</t>
  </si>
  <si>
    <t>II.</t>
  </si>
  <si>
    <t>투자자산</t>
  </si>
  <si>
    <t>5.</t>
  </si>
  <si>
    <t>(2)</t>
    <phoneticPr fontId="5" type="noConversion"/>
  </si>
  <si>
    <t>10.</t>
  </si>
  <si>
    <t>1.</t>
    <phoneticPr fontId="5" type="noConversion"/>
  </si>
  <si>
    <t>6.</t>
  </si>
  <si>
    <t>7.</t>
  </si>
  <si>
    <t>8.</t>
  </si>
  <si>
    <t>9.</t>
  </si>
  <si>
    <t>III.</t>
  </si>
  <si>
    <t>IV.</t>
  </si>
  <si>
    <t>이익잉여금</t>
    <phoneticPr fontId="5" type="noConversion"/>
  </si>
  <si>
    <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</si>
  <si>
    <r>
      <t>손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익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계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산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서</t>
    </r>
  </si>
  <si>
    <t>매출총이익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</si>
  <si>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</si>
  <si>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</si>
  <si>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</si>
  <si>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</si>
  <si>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</si>
  <si>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</si>
  <si>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</si>
  <si>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</si>
  <si>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</si>
  <si>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</si>
  <si>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V.</t>
  </si>
  <si>
    <t>VI.</t>
  </si>
  <si>
    <t>영업외수익</t>
  </si>
  <si>
    <t>VII.</t>
  </si>
  <si>
    <t>영업외비용</t>
  </si>
  <si>
    <t>VIII.</t>
  </si>
  <si>
    <t>IX.</t>
  </si>
  <si>
    <r>
      <rPr>
        <sz val="10"/>
        <rFont val="바탕"/>
        <family val="1"/>
        <charset val="129"/>
      </rP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  <phoneticPr fontId="5" type="noConversion"/>
  </si>
  <si>
    <r>
      <t>이익잉여금처분계산서</t>
    </r>
    <r>
      <rPr>
        <u/>
        <sz val="18"/>
        <rFont val="Times New Roman"/>
        <family val="1"/>
      </rPr>
      <t/>
    </r>
    <phoneticPr fontId="5" type="noConversion"/>
  </si>
  <si>
    <r>
      <t>제</t>
    </r>
    <r>
      <rPr>
        <sz val="10"/>
        <rFont val="Times New Roman"/>
        <family val="1"/>
      </rPr>
      <t xml:space="preserve"> 24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  2007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 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 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          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 xml:space="preserve"> 23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  2006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 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 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</t>
    </r>
    <phoneticPr fontId="5" type="noConversion"/>
  </si>
  <si>
    <r>
      <t xml:space="preserve">                  2007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12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r>
      <rPr>
        <sz val="10"/>
        <rFont val="Times New Roman"/>
        <family val="1"/>
      </rPr>
      <t xml:space="preserve">                                   2006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12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5" type="noConversion"/>
  </si>
  <si>
    <r>
      <t xml:space="preserve">           </t>
    </r>
    <r>
      <rPr>
        <sz val="10"/>
        <rFont val="바탕"/>
        <family val="1"/>
        <charset val="129"/>
      </rPr>
      <t>처분확정일</t>
    </r>
    <r>
      <rPr>
        <sz val="10"/>
        <rFont val="Times New Roman"/>
        <family val="1"/>
      </rPr>
      <t xml:space="preserve"> : 2008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 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</t>
    </r>
    <r>
      <rPr>
        <sz val="10"/>
        <rFont val="Times New Roman"/>
        <family val="1"/>
      </rPr>
      <t xml:space="preserve">                    </t>
    </r>
    <r>
      <rPr>
        <sz val="10"/>
        <rFont val="바탕"/>
        <family val="1"/>
        <charset val="129"/>
      </rPr>
      <t>처분확정일</t>
    </r>
    <r>
      <rPr>
        <sz val="10"/>
        <rFont val="Times New Roman"/>
        <family val="1"/>
      </rPr>
      <t xml:space="preserve"> : 2007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 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</t>
    </r>
    <phoneticPr fontId="5" type="noConversion"/>
  </si>
  <si>
    <r>
      <t>현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금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흐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름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표</t>
    </r>
  </si>
  <si>
    <t>21.</t>
  </si>
  <si>
    <t>과                       목</t>
  </si>
  <si>
    <t>PA ( R ) JE</t>
    <phoneticPr fontId="5" type="noConversion"/>
  </si>
  <si>
    <t>수정후</t>
    <phoneticPr fontId="5" type="noConversion"/>
  </si>
  <si>
    <t>자               산</t>
  </si>
  <si>
    <t>재고자산</t>
    <phoneticPr fontId="5" type="noConversion"/>
  </si>
  <si>
    <t>비유동자산</t>
    <phoneticPr fontId="7" type="noConversion"/>
  </si>
  <si>
    <t>유형자산</t>
    <phoneticPr fontId="5" type="noConversion"/>
  </si>
  <si>
    <t>6.</t>
    <phoneticPr fontId="7" type="noConversion"/>
  </si>
  <si>
    <t>7.</t>
    <phoneticPr fontId="7" type="noConversion"/>
  </si>
  <si>
    <t>8.</t>
    <phoneticPr fontId="7" type="noConversion"/>
  </si>
  <si>
    <t>9.</t>
    <phoneticPr fontId="7" type="noConversion"/>
  </si>
  <si>
    <t>10.</t>
    <phoneticPr fontId="7" type="noConversion"/>
  </si>
  <si>
    <t>(3)</t>
    <phoneticPr fontId="5" type="noConversion"/>
  </si>
  <si>
    <t>무형자산</t>
    <phoneticPr fontId="5" type="noConversion"/>
  </si>
  <si>
    <t>기타비유동자산</t>
    <phoneticPr fontId="5" type="noConversion"/>
  </si>
  <si>
    <t>자      산      총      계</t>
    <phoneticPr fontId="7" type="noConversion"/>
  </si>
  <si>
    <t>부                채</t>
  </si>
  <si>
    <t>비유동부채</t>
    <phoneticPr fontId="7" type="noConversion"/>
  </si>
  <si>
    <t>부      채      총      계</t>
    <phoneticPr fontId="7" type="noConversion"/>
  </si>
  <si>
    <t>자                본</t>
    <phoneticPr fontId="5" type="noConversion"/>
  </si>
  <si>
    <t>자본잉여금</t>
    <phoneticPr fontId="5" type="noConversion"/>
  </si>
  <si>
    <t>자본조정</t>
    <phoneticPr fontId="5" type="noConversion"/>
  </si>
  <si>
    <t>IV.</t>
    <phoneticPr fontId="5" type="noConversion"/>
  </si>
  <si>
    <t>기타포괄손익누계액</t>
    <phoneticPr fontId="5" type="noConversion"/>
  </si>
  <si>
    <t>V.</t>
    <phoneticPr fontId="5" type="noConversion"/>
  </si>
  <si>
    <t>이익잉여금</t>
    <phoneticPr fontId="5" type="noConversion"/>
  </si>
  <si>
    <t>전기이월이익잉여금</t>
    <phoneticPr fontId="5" type="noConversion"/>
  </si>
  <si>
    <t>전기오류수정이익(손실)</t>
    <phoneticPr fontId="5" type="noConversion"/>
  </si>
  <si>
    <t>당기순이익(손실)</t>
    <phoneticPr fontId="5" type="noConversion"/>
  </si>
  <si>
    <t>자      본      총      계</t>
    <phoneticPr fontId="7" type="noConversion"/>
  </si>
  <si>
    <t>부  채  와    자  본   총  계</t>
  </si>
  <si>
    <t>PA( R )JE</t>
    <phoneticPr fontId="5" type="noConversion"/>
  </si>
  <si>
    <t>(1)</t>
    <phoneticPr fontId="5" type="noConversion"/>
  </si>
  <si>
    <t>30.</t>
  </si>
  <si>
    <t>X.</t>
  </si>
  <si>
    <t>W/P No.</t>
    <phoneticPr fontId="5" type="noConversion"/>
  </si>
  <si>
    <t>PA(R)JE</t>
    <phoneticPr fontId="5" type="noConversion"/>
  </si>
  <si>
    <t>PAJE</t>
    <phoneticPr fontId="5" type="noConversion"/>
  </si>
  <si>
    <t>No.</t>
    <phoneticPr fontId="5" type="noConversion"/>
  </si>
  <si>
    <t>Description</t>
    <phoneticPr fontId="5" type="noConversion"/>
  </si>
  <si>
    <t>Dr</t>
    <phoneticPr fontId="5" type="noConversion"/>
  </si>
  <si>
    <t>Cr</t>
    <phoneticPr fontId="5" type="noConversion"/>
  </si>
  <si>
    <t>Assets</t>
    <phoneticPr fontId="5" type="noConversion"/>
  </si>
  <si>
    <t>Liabilities</t>
    <phoneticPr fontId="5" type="noConversion"/>
  </si>
  <si>
    <t>Profits/Losses</t>
    <phoneticPr fontId="5" type="noConversion"/>
  </si>
  <si>
    <t>PRJE</t>
    <phoneticPr fontId="5" type="noConversion"/>
  </si>
  <si>
    <t>A</t>
  </si>
  <si>
    <t>주석사항검토</t>
    <phoneticPr fontId="5" type="noConversion"/>
  </si>
  <si>
    <t>Note)</t>
    <phoneticPr fontId="5" type="noConversion"/>
  </si>
  <si>
    <t>증가</t>
    <phoneticPr fontId="5" type="noConversion"/>
  </si>
  <si>
    <t>⑴ 유가증권 분류 관련 주석</t>
  </si>
  <si>
    <t>기준서 제5호</t>
  </si>
  <si>
    <t>기준서 제5호43</t>
  </si>
  <si>
    <t>기준서 제5호47</t>
  </si>
  <si>
    <t>- 무형자산의 취득원가</t>
  </si>
  <si>
    <t>기준서 제3호</t>
  </si>
  <si>
    <t>기준서 제3호74</t>
  </si>
  <si>
    <t>, 환어음을 결제한 후에는 단기차입금으로 회계처리함).</t>
  </si>
  <si>
    <t>증가(감소)</t>
    <phoneticPr fontId="5" type="noConversion"/>
  </si>
  <si>
    <t>증감율</t>
    <phoneticPr fontId="7" type="noConversion"/>
  </si>
  <si>
    <t>⑴ 급여 및 퇴직급여는 미지급비용 또는 퇴직급여충당부채 조서와 연결</t>
  </si>
  <si>
    <t>T</t>
  </si>
  <si>
    <t>손금산입/익금불산입</t>
    <phoneticPr fontId="5" type="noConversion"/>
  </si>
  <si>
    <t>대손충당금</t>
  </si>
  <si>
    <t>소계</t>
  </si>
  <si>
    <t>매도가능증권평가이익</t>
  </si>
  <si>
    <t>차감계</t>
  </si>
  <si>
    <t>감         사         절         차</t>
  </si>
  <si>
    <t>조서번호</t>
  </si>
  <si>
    <t> 1. 중단사업의 조건 충족여부 검토</t>
  </si>
  <si>
    <t xml:space="preserve">다른 사업과 식별가능성, 사업중단계획의 내용 및 사업중단의 형태 등 중단사업의 조건이 모두 충족되는지 여부를 검토한다.   </t>
  </si>
  <si>
    <t> 2. 사업중단에 대한 최초공시사건의 적정성 검토</t>
  </si>
  <si>
    <t>최초공시사건을 다음 중 빠른 날로 하였는지 검토한다.</t>
  </si>
  <si>
    <t>⑴ 구속력있는 매각계획의 체결</t>
  </si>
  <si>
    <t xml:space="preserve">⑵ 경영자에 의한 공식적이며 구체적인 중단계획의 승인 및 발표 </t>
  </si>
  <si>
    <t> 3. 중단사업손익의 인식과 측정</t>
  </si>
  <si>
    <t> 4. 중단사업에 대한 손익계산서상 표시방법 검토</t>
  </si>
  <si>
    <t>5. 사업중단계획을 철회한 경우</t>
  </si>
  <si>
    <t> 6. 재무제표 공시사항 검토(공시사항점검표 참조)</t>
  </si>
  <si>
    <t> 1. 우발부채 및 약정사항의 완전성 검토</t>
  </si>
  <si>
    <t>    다음사항을 참조하여 기말현재의 우발부채 및 약정사항 존재여부를 파악한다.</t>
  </si>
  <si>
    <t>   ⑴ 회사의 거래은행 및 기타 관계회사 특수관계인으로부터 받은 조회확인서(선물환 포함)</t>
  </si>
  <si>
    <t>   ⑶ 견질어음중 회사의 차입금잔액을 초과하여 발행된 금액</t>
  </si>
  <si>
    <t>   ⑷ 주총, 이사회 등의 의사록 사본이나 열람 발췌문</t>
  </si>
  <si>
    <t>   ⑸ 대차대조표일 이후 감사보고서일 이전까지의 모든 계약서 및 왕복문서 사본</t>
  </si>
  <si>
    <t>   ⑹ 진행중인 구매 약정사항</t>
  </si>
  <si>
    <t>   ⑺ 자산임대차 계약사항, 부동산매매계약서</t>
  </si>
  <si>
    <t>   ⑻ 회사의 인감 날인부</t>
  </si>
  <si>
    <t> 2. 매출채권의 양도, 할인</t>
  </si>
  <si>
    <t>    (해석 52-14 참조)</t>
  </si>
  <si>
    <t> 3. 파생상품거래</t>
  </si>
  <si>
    <t>    (해석53-70 참조)</t>
  </si>
  <si>
    <t> 4. 손해배상 등 기타 소송사건 내용</t>
  </si>
  <si>
    <t>   ⑵ 파악된 분쟁(소송이 제기되지 않은 사건포함) 등에 대하여 관련 변호사 명단을 파악하고 변호사조회서 발송을 의뢰</t>
  </si>
  <si>
    <t>   ⑶ 추가적인 분쟁사건 등을 확인하기 위한 다음의 감사절차를 수행</t>
  </si>
  <si>
    <t>     가) 법률 수수료가 기재된 장부, 변호사와의 왕복문서 검토</t>
  </si>
  <si>
    <t>     나) 감사보고서일까지의 이사회, 주주총회 및 중요위원회의사록의 검토</t>
  </si>
  <si>
    <t>     다) 금융기관으로부터 입수한 조회서, 계약서, 차입약정서 및 기타 정부기관으로부터의 왕복문서등 관련서류 검토</t>
  </si>
  <si>
    <t>     라) 다른 계정의 감사결과</t>
  </si>
  <si>
    <t>   ⑷ 변호사조회서 회신결과 등을 검토하여 재무제표상에 공시하거나 우발부채로 계상하여야 하는지 검토한다.</t>
  </si>
  <si>
    <t> 5. 담보제공 및 지급보증채무에 대한 검토</t>
  </si>
  <si>
    <t>   ⑴ 이사회 의사록 등과 대조 확인</t>
  </si>
  <si>
    <t>   ⑵ 회사의 인감대장 등을 열람하여 기록되지 아니한 담보제공 및 지급보증채무 여부를 검토</t>
  </si>
  <si>
    <t xml:space="preserve">   ⑵ 중요구매계약을 검토하여 가격 및 기타조건에 있어 회사에게 불리한 조건의 유무 </t>
  </si>
  <si>
    <t> 7. 우발부채 계상의 적정성</t>
  </si>
  <si>
    <t>   ⑵ 필요한 경우에는 보증채무, 보증예약 등에 대하여 상대 거래처에게 직접 확인</t>
  </si>
  <si>
    <t>   ⑶ 제조물책임, 환경문제 등을 원인으로 하는 우발부채를 고려할 필요가 없는가를 검토</t>
  </si>
  <si>
    <t> 8. 경영자확인서</t>
  </si>
  <si>
    <t> 9. 재무제표 공시사항의 적정성 검토(공시사항점검표 참조)</t>
  </si>
  <si>
    <t>   ⑴ 계류중인 소송사건의 내용과 전망(주석)</t>
  </si>
  <si>
    <t>   ⑵ 우발부채의 금액과 내용(주석)</t>
  </si>
  <si>
    <t>   ⑶ 주요 약정사항의 내용 및 금액(주석)</t>
  </si>
  <si>
    <t>   ⑷ 파생상품거래 계약의 내용 및 금액(주석)</t>
  </si>
  <si>
    <t>   ⑸ 매출채권 등의 양도 또는 할인에 관한 내용(주석)</t>
  </si>
  <si>
    <t>   ⑹ 타인을 위하여 제공한 담보․보증의 내용(주석)</t>
  </si>
  <si>
    <t>   ⑺ 국고보조금에 대하여 미이행된 조건 및 우발상황(주석)</t>
  </si>
  <si>
    <t> 1. 파생상품 거래유무등의 확인</t>
  </si>
  <si>
    <t>     가) 거래목적</t>
  </si>
  <si>
    <t xml:space="preserve">     나) 거래목적을 이해하는 데 필요한 사항(부담하고 있는 위험의 본질과 원천, 이러한 위험에 대한 대응정책 등) </t>
  </si>
  <si>
    <t> 2. 파생상품평가등</t>
  </si>
  <si>
    <t>   (3) 금융기관 등에 지급한 수수료, 거래손익(반대매매, 만기결제등)등의 회계처리의 적정성 검토</t>
  </si>
  <si>
    <t> 3. 위험회피대상</t>
  </si>
  <si>
    <t>    위험회피대상항목이 위험회피유형별로 적절하게 회계처리되었는지 해당과목 조서와 연계하여 검토한다.</t>
  </si>
  <si>
    <t> 4. 공정가액 위험회피회계가 적용되는 경우에는 회피대상위험별로 다음 사항을 확인</t>
  </si>
  <si>
    <t>   (1) 위험회피의 불완전성으로 인하여 당기손익으로 인식하는 금액 및 그 계정과목</t>
  </si>
  <si>
    <t> 5. 현금흐름 위험회피회계가 적용되는 경우에는 회피대상위험별로 다음 사항을 확인</t>
  </si>
  <si>
    <t>   (2) 위험회피대상 예상거래로 인하여 현금흐름 변동위험에 노출되는 예상최장기간</t>
  </si>
  <si>
    <t>6. 재무제표 공시의 적정성 검토(공시사항점검표 참조)</t>
  </si>
  <si>
    <t>   (1) 파생상품의 공정가액 및 평가손익 금액은 그 성질이나 금액이 중요한 경우 파생상품별로 구분하여 재무제표에 표시</t>
  </si>
  <si>
    <t>   (2) 파생상품의 계약별 공정가액을 자산 또는 부채로 계상하는 경우, 해당 자산과 부채는 총액으로 표시</t>
  </si>
  <si>
    <t xml:space="preserve">   (3) 파생상품계약별 평가손실과 평가이익도 총액으로 표시 </t>
  </si>
  <si>
    <t>   (4) 매매목적 또는 위험회피회계가 적용되지 않으나 위험회피목적으로 보유하고 있는 파생상품 관련사항(주석)</t>
  </si>
  <si>
    <t>   (5) 공정가액 위험회피회계 관련 사항(주석)</t>
  </si>
  <si>
    <t>   (6) 현금흐름 위험회피회계 관련 사항(주석)</t>
  </si>
  <si>
    <t>   (7) 매매목적 파생상품평가손익과 위험회피목적 파생상품평가손익(주석)</t>
  </si>
  <si>
    <t>   (8) 신용파생상품과 관련된 내역(주석)</t>
  </si>
  <si>
    <t> 7. 감사결론의 기술</t>
  </si>
  <si>
    <t>① 회사의 어음수표 발행대장, 회계장부기록, 또는 어음수표부본과 대조확인(지급어음, 단기차입등 금융어음)</t>
  </si>
  <si>
    <t>미회수된 것은 보관증을 확인대조하거나 상대채권자에 조회 확인.</t>
  </si>
  <si>
    <t>, B/L(선하증권) 등을 개관하여 선적일 등을 검토하는 등의 다른 절차를 수행하여야 한다.</t>
  </si>
  <si>
    <t>항목</t>
  </si>
  <si>
    <t>원/달러(기준환율)</t>
  </si>
  <si>
    <t>원/일본엔(100엔)</t>
  </si>
  <si>
    <t>원/유로</t>
  </si>
  <si>
    <t>원/스위스프랑</t>
  </si>
  <si>
    <t>원/중국원(元)</t>
  </si>
  <si>
    <t>Material Scope</t>
    <phoneticPr fontId="5" type="noConversion"/>
  </si>
  <si>
    <t>F-4,5</t>
    <phoneticPr fontId="7" type="noConversion"/>
  </si>
  <si>
    <t>Equities</t>
    <phoneticPr fontId="5" type="noConversion"/>
  </si>
  <si>
    <t>Total</t>
    <phoneticPr fontId="5" type="noConversion"/>
  </si>
  <si>
    <t>감소</t>
    <phoneticPr fontId="7" type="noConversion"/>
  </si>
  <si>
    <t>4.</t>
    <phoneticPr fontId="7" type="noConversion"/>
  </si>
  <si>
    <t>5.</t>
    <phoneticPr fontId="7" type="noConversion"/>
  </si>
  <si>
    <t>유가증권</t>
    <phoneticPr fontId="5" type="noConversion"/>
  </si>
  <si>
    <t>투자유가증권</t>
    <phoneticPr fontId="5" type="noConversion"/>
  </si>
  <si>
    <t>1)</t>
    <phoneticPr fontId="5" type="noConversion"/>
  </si>
  <si>
    <t>2)</t>
    <phoneticPr fontId="5" type="noConversion"/>
  </si>
  <si>
    <t>구매카드채무</t>
    <phoneticPr fontId="5" type="noConversion"/>
  </si>
  <si>
    <t>사업연도소득</t>
    <phoneticPr fontId="5" type="noConversion"/>
  </si>
  <si>
    <t xml:space="preserve">   ⑵ 부외부채에 대한 감사절차수행중 추가적으로 파악된 우발부채 </t>
  </si>
  <si>
    <t> 6. 약정사항중 회사에 손실을 발생시킬수 있는 다음 내용을 검토한다.</t>
  </si>
  <si>
    <t>매출원가</t>
    <phoneticPr fontId="5" type="noConversion"/>
  </si>
  <si>
    <t>EE</t>
    <phoneticPr fontId="5" type="noConversion"/>
  </si>
  <si>
    <t>W/P No.</t>
    <phoneticPr fontId="5" type="noConversion"/>
  </si>
  <si>
    <t>Date</t>
    <phoneticPr fontId="5" type="noConversion"/>
  </si>
  <si>
    <t>Signature</t>
    <phoneticPr fontId="5" type="noConversion"/>
  </si>
  <si>
    <t xml:space="preserve">  부가세대급금</t>
    <phoneticPr fontId="5" type="noConversion"/>
  </si>
  <si>
    <t>주석사항검토</t>
    <phoneticPr fontId="5" type="noConversion"/>
  </si>
  <si>
    <t>1.</t>
    <phoneticPr fontId="5" type="noConversion"/>
  </si>
  <si>
    <t>Note)</t>
    <phoneticPr fontId="5" type="noConversion"/>
  </si>
  <si>
    <t>1.</t>
    <phoneticPr fontId="7" type="noConversion"/>
  </si>
  <si>
    <t>Conclusion</t>
    <phoneticPr fontId="7" type="noConversion"/>
  </si>
  <si>
    <t>Note)</t>
    <phoneticPr fontId="5" type="noConversion"/>
  </si>
  <si>
    <t>1.</t>
    <phoneticPr fontId="7" type="noConversion"/>
  </si>
  <si>
    <t>5.</t>
    <phoneticPr fontId="7" type="noConversion"/>
  </si>
  <si>
    <t>채무조정이 있은 경우 채무조정에 관한 내용(주석)</t>
    <phoneticPr fontId="5" type="noConversion"/>
  </si>
  <si>
    <t>⑻ 제품보증 클레임과 관련하여 변호사로부터 조회서의 수령여부를 고려</t>
    <phoneticPr fontId="5" type="noConversion"/>
  </si>
  <si>
    <t>1.</t>
    <phoneticPr fontId="5" type="noConversion"/>
  </si>
  <si>
    <t>회사가 계상한 중단사업손익이 중단사업으로부터 발생한 영업손익과 영업외손익으로서 사업중단직접비용과</t>
    <phoneticPr fontId="7" type="noConversion"/>
  </si>
  <si>
    <t xml:space="preserve"> 중단사업자산감액손실을 모두 포함하였는지 검토한다. 특히, 사업중단과 직접 관련되어 발생할 것으로 </t>
    <phoneticPr fontId="7" type="noConversion"/>
  </si>
  <si>
    <t>예상되는 비용은 중단사업손익에 반영하고 충당부채로 계상하여야 한다.</t>
    <phoneticPr fontId="7" type="noConversion"/>
  </si>
  <si>
    <t>중단사업손익으로 구분 표시하고 그 구성내역은 주석으로 기재</t>
    <phoneticPr fontId="7" type="noConversion"/>
  </si>
  <si>
    <t>⑴ 사업중단직접비용</t>
    <phoneticPr fontId="7" type="noConversion"/>
  </si>
  <si>
    <t>⑵ 중단사업자산감액손실</t>
    <phoneticPr fontId="7" type="noConversion"/>
  </si>
  <si>
    <t>⑶ 그밖에 중단사업으로부터 발생한 영업손익과 영업외 손익</t>
    <phoneticPr fontId="7" type="noConversion"/>
  </si>
  <si>
    <t>중단사업손익은 법인세효과를 차감하여 순액으로 표시하고 법인세효과는 주기</t>
    <phoneticPr fontId="7" type="noConversion"/>
  </si>
  <si>
    <t xml:space="preserve">⑴ 전년도의 사업중단직접비용과 중단사업자산감액손실을 제외한 중단사업손익을 계속사업의 손익으로 </t>
    <phoneticPr fontId="7" type="noConversion"/>
  </si>
  <si>
    <t xml:space="preserve">   재분류 하였는지 검토</t>
    <phoneticPr fontId="7" type="noConversion"/>
  </si>
  <si>
    <t>⑵ 전년도의 사업중단직접비용과 중단사업자산감액손실은 계속해서 중단사업손익으로 보고하고</t>
    <phoneticPr fontId="7" type="noConversion"/>
  </si>
  <si>
    <t>, 사업중단계획을 철회하기로 한 기간에 환입하여 중단사업손익으로 보고되었는지 검토한다.</t>
    <phoneticPr fontId="7" type="noConversion"/>
  </si>
  <si>
    <t>⑴ 중단사업의 내용</t>
    <phoneticPr fontId="7" type="noConversion"/>
  </si>
  <si>
    <t>⑵ 중단사업이 속하는 사업별 또는 지역별 단위</t>
    <phoneticPr fontId="7" type="noConversion"/>
  </si>
  <si>
    <t xml:space="preserve">⑶ 최초공시사건의 일자와 성격 </t>
    <phoneticPr fontId="7" type="noConversion"/>
  </si>
  <si>
    <t xml:space="preserve">⑷ 중단사업의 처분예정시기 </t>
    <phoneticPr fontId="7" type="noConversion"/>
  </si>
  <si>
    <t xml:space="preserve">⑸ 대차대조표일 후에 처분예정인 자산과 부채의 대차대조표일 현재 장부가액 합계액 </t>
    <phoneticPr fontId="7" type="noConversion"/>
  </si>
  <si>
    <t xml:space="preserve">⑹ 중단사업손익의 산출내역 </t>
    <phoneticPr fontId="7" type="noConversion"/>
  </si>
  <si>
    <t>⑺ 영업활동, 투자활동 및 재무활동으로부터 발생한 순현금흐름 중 중단사업에 귀속되는 금액</t>
    <phoneticPr fontId="7" type="noConversion"/>
  </si>
  <si>
    <t xml:space="preserve">    매출채권의 양도(어음의 배서) 또는 할인 내용을 확인하기 위해 관계책임자에게 질문 또는 매출채권 계정을 검토하여 </t>
    <phoneticPr fontId="7" type="noConversion"/>
  </si>
  <si>
    <t>감소(어음은 만기일전)된 내용을 검토하고 회계처리의 적정정을 검토한다.</t>
    <phoneticPr fontId="7" type="noConversion"/>
  </si>
  <si>
    <t xml:space="preserve">    선물거래, 선물환거래, 스왑거래 등의 내용을 파악하고 선물거래손익, 미결제잔액을 선물계약부서의 보조부를 조사하여 </t>
    <phoneticPr fontId="7" type="noConversion"/>
  </si>
  <si>
    <t xml:space="preserve">   회계처리 및 공시의 적정성을 DER ‘파생상품’과 연계하여 검토한다.</t>
    <phoneticPr fontId="7" type="noConversion"/>
  </si>
  <si>
    <t xml:space="preserve">   ⑴ 경영진으로부터 대차대조표일 현재 또는 대차대조표일 이후 자료제공일까지의 중요한 소송사건, 손해배상, 세무분쟁 </t>
    <phoneticPr fontId="7" type="noConversion"/>
  </si>
  <si>
    <t xml:space="preserve">     내용(소송이 제기되지 않은 사건포함)을 기술하고 평가한 자료를 징구</t>
    <phoneticPr fontId="7" type="noConversion"/>
  </si>
  <si>
    <t>   ⑶ 어음. 수표 검토를 통하여 견질 등으로 제공된 어음/수표 중 지급보증 관련 어음/수표의 발행이 없는지를 확인(</t>
    <phoneticPr fontId="7" type="noConversion"/>
  </si>
  <si>
    <t xml:space="preserve">      모든 견질어음/수표의 용도를 기재하여 관련 채무, 보증 또는 거래와 확인하여야 함)</t>
    <phoneticPr fontId="7" type="noConversion"/>
  </si>
  <si>
    <t xml:space="preserve">   ⑷ 관계회사 등의 재무상태 등을 검토하여 담보제공 및 지급보증 가능성을 검토하고 필요한 경우 당해 관계회사로부터 </t>
    <phoneticPr fontId="7" type="noConversion"/>
  </si>
  <si>
    <t xml:space="preserve">      확인서를 입수</t>
    <phoneticPr fontId="7" type="noConversion"/>
  </si>
  <si>
    <t xml:space="preserve">   ⑴ 중요판매계약(공사도급계약 포함), 수출관련서류를 검토하고 관계책임자에게 질문하여 클레임의 </t>
    <phoneticPr fontId="7" type="noConversion"/>
  </si>
  <si>
    <t xml:space="preserve">       발생사실 및 발생가능성</t>
    <phoneticPr fontId="7" type="noConversion"/>
  </si>
  <si>
    <t>   ⑴ 우발부채중 확정채무화 될 것이 확실하고 그 손실금액을 예측할 수 있는 것에 대해서는 부채로 계상되었는지를 검토</t>
    <phoneticPr fontId="7" type="noConversion"/>
  </si>
  <si>
    <t xml:space="preserve">   ⑷ 경영지도각서와 같은 보증에 준하는 우발부채의 원인으로 될 가능성이 있는 행위를 하고 있지 않은가에 대하여 </t>
    <phoneticPr fontId="7" type="noConversion"/>
  </si>
  <si>
    <t xml:space="preserve">      경영자에 대한 질문</t>
    <phoneticPr fontId="7" type="noConversion"/>
  </si>
  <si>
    <t>    대차대조표일 현재의 우발부채(부표내용 포함) 및 약정사항에 대하여는 경영자확인서에 기재</t>
    <phoneticPr fontId="7" type="noConversion"/>
  </si>
  <si>
    <t xml:space="preserve">    (모든 부채의 완전성에 관한 사항을 포함)하여 책임자의 서명 날인을 받는다. </t>
    <phoneticPr fontId="7" type="noConversion"/>
  </si>
  <si>
    <t xml:space="preserve">   (1) 선물, 선도, 스왑, 옵션 등 파생상품 계약부서의 보조부, 이사회의사록, 금융기관조회서 등을 검토하여 파생상품 </t>
    <phoneticPr fontId="7" type="noConversion"/>
  </si>
  <si>
    <t xml:space="preserve">      거래유무를 확인하고, 필요시 파생상품전문가 활용의 고려 및 계약상대방에게 조회확인</t>
    <phoneticPr fontId="7" type="noConversion"/>
  </si>
  <si>
    <t xml:space="preserve">   (2) 파생상품 거래가 있는 경우에는  해석53-70에서 규정한 파생상품 요건의 충족여부와 동 해석 적용대상 여부 </t>
    <phoneticPr fontId="7" type="noConversion"/>
  </si>
  <si>
    <t xml:space="preserve">      및 다음 사항을 확인</t>
    <phoneticPr fontId="7" type="noConversion"/>
  </si>
  <si>
    <t xml:space="preserve">     다) 위험회피목적의 경우 해당목적을 달성하기 위한 전략(위험회피대상항목의 내역, 위험회피대상범위, 위험회피를 </t>
    <phoneticPr fontId="7" type="noConversion"/>
  </si>
  <si>
    <t xml:space="preserve">         위한 구체적인 방법)</t>
    <phoneticPr fontId="7" type="noConversion"/>
  </si>
  <si>
    <t xml:space="preserve">     라) 위험회피회계를 적용한 경우 파생상품을 위험회피수단으로 최초 지정하는 시점에 위험회피 종류, </t>
    <phoneticPr fontId="7" type="noConversion"/>
  </si>
  <si>
    <t xml:space="preserve">        위험관리의 목적, 위험회피전략이 공식적으로 문서화되어 있는지 여부 등을 포함한 위험회피회계적용 </t>
    <phoneticPr fontId="7" type="noConversion"/>
  </si>
  <si>
    <t xml:space="preserve">        요건의 충족 여부</t>
    <phoneticPr fontId="7" type="noConversion"/>
  </si>
  <si>
    <t xml:space="preserve">   (1) 파생상품의 해당 계약에 따라 발생된 권리와 의무가 공정가액으로 평가되어 적절하게 자산부채로 인식되어 </t>
    <phoneticPr fontId="7" type="noConversion"/>
  </si>
  <si>
    <t xml:space="preserve">      있는지 검토</t>
    <phoneticPr fontId="7" type="noConversion"/>
  </si>
  <si>
    <t xml:space="preserve">   (2) 위험회피수단으로 지정되지 않고 매매목적 등으로 보유하고 있는 파생상품의 평가손익은 당기손익으로 </t>
    <phoneticPr fontId="7" type="noConversion"/>
  </si>
  <si>
    <t xml:space="preserve">       계상되어있는지, 위험회피수단으로 지정된 파생상품의 평가손익은 위험회피유형별로 적절하게 </t>
    <phoneticPr fontId="7" type="noConversion"/>
  </si>
  <si>
    <t xml:space="preserve">      회계처리되었는지 검토</t>
    <phoneticPr fontId="7" type="noConversion"/>
  </si>
  <si>
    <t xml:space="preserve">   (2) 확정계약에 대한 위험회피회계가 중단됨으로써 이미 자산부채로 계상한 확정계약을 전액 제거하고 이를 </t>
    <phoneticPr fontId="7" type="noConversion"/>
  </si>
  <si>
    <t xml:space="preserve">       당기손익에 반영하는 경우 그 금액 및 내역</t>
    <phoneticPr fontId="7" type="noConversion"/>
  </si>
  <si>
    <t xml:space="preserve">   (3) 지분법 적용대상 외화표시 투자주식의 외화공정가액 위험회피와 관련하여 기타포괄손익누계액으로 계상한 </t>
    <phoneticPr fontId="7" type="noConversion"/>
  </si>
  <si>
    <t xml:space="preserve">      파생상품평가손익의 금액 및 내역</t>
    <phoneticPr fontId="7" type="noConversion"/>
  </si>
  <si>
    <t xml:space="preserve">   (3) 기타포괄손익누계액에 계상된 파생상품평가손익중 결산일로부터 12개월 이내에 당기손익으로 인식할 것으로 </t>
    <phoneticPr fontId="7" type="noConversion"/>
  </si>
  <si>
    <t xml:space="preserve">       예상되는 금액 </t>
    <phoneticPr fontId="7" type="noConversion"/>
  </si>
  <si>
    <t xml:space="preserve">   (4) 기타포괄손익누계액에 계상된 파생상품평가손익을 위험회피대상 예상거래가 당기손익에 영향을 미치는 </t>
    <phoneticPr fontId="7" type="noConversion"/>
  </si>
  <si>
    <t xml:space="preserve">       회계연도에 당기손익으로 인식하는 경우, 위험회피대상 예상거래가 당기손익에 영향을 미치게 되는 거래 </t>
    <phoneticPr fontId="7" type="noConversion"/>
  </si>
  <si>
    <t xml:space="preserve">       또는 회계사건의 내역 </t>
    <phoneticPr fontId="7" type="noConversion"/>
  </si>
  <si>
    <t xml:space="preserve">   (5) 위험회피대상 예상거래의 발생가능성이 불확실하여 현금흐름 위험회피회계가 중단됨으로써 이미 </t>
    <phoneticPr fontId="7" type="noConversion"/>
  </si>
  <si>
    <t xml:space="preserve">       기타포괄손익누계액으로 계상된 파생상품평가손익을 즉시 당기손익으로 인식하는 경우 그 금액 및 내역</t>
    <phoneticPr fontId="7" type="noConversion"/>
  </si>
  <si>
    <t>어음수표 교부발행 총괄표 작성</t>
    <phoneticPr fontId="5" type="noConversion"/>
  </si>
  <si>
    <t>⑴ 어음․수표별 당기 사용매수에 대한 총괄적검증</t>
    <phoneticPr fontId="5" type="noConversion"/>
  </si>
  <si>
    <t>구분</t>
    <phoneticPr fontId="5" type="noConversion"/>
  </si>
  <si>
    <t>매수</t>
    <phoneticPr fontId="5" type="noConversion"/>
  </si>
  <si>
    <t>전기 미사용수량</t>
    <phoneticPr fontId="5" type="noConversion"/>
  </si>
  <si>
    <t>회계장부상 발행수량</t>
    <phoneticPr fontId="5" type="noConversion"/>
  </si>
  <si>
    <t xml:space="preserve">(+)당기중교부받은수량     </t>
    <phoneticPr fontId="5" type="noConversion"/>
  </si>
  <si>
    <t xml:space="preserve">(+)비망기록상 발행수량 </t>
    <phoneticPr fontId="5" type="noConversion"/>
  </si>
  <si>
    <r>
      <t>(-)기말 미사용수량</t>
    </r>
    <r>
      <rPr>
        <sz val="11"/>
        <rFont val="Book Antiqua"/>
        <family val="1"/>
      </rPr>
      <t/>
    </r>
    <phoneticPr fontId="5" type="noConversion"/>
  </si>
  <si>
    <t>(+)폐기 수량</t>
    <phoneticPr fontId="5" type="noConversion"/>
  </si>
  <si>
    <t>(A)당기 어음․수표사용수량 </t>
    <phoneticPr fontId="5" type="noConversion"/>
  </si>
  <si>
    <t>(B)당기 어음․수표사용수량</t>
    <phoneticPr fontId="3" type="noConversion"/>
  </si>
  <si>
    <t xml:space="preserve">⑵ 총괄적검증결과 불일치의 경우 (A)&gt;(B) 부외부채가능성이 있으므로 주의 </t>
    <phoneticPr fontId="5" type="noConversion"/>
  </si>
  <si>
    <t>⑶ 지급어음 중에서 영업과 관련이 없는 지급어음에 대하여 계정분류가 적정하게 이루어지고 있는지 검토</t>
    <phoneticPr fontId="5" type="noConversion"/>
  </si>
  <si>
    <t>⑷ 회사로부터 거래은행별로 다음 내용이 포함된 어음수표총괄표를 작성하고, 어음수표관리대장과 일치하는지 확인</t>
    <phoneticPr fontId="5" type="noConversion"/>
  </si>
  <si>
    <t>- 거래은행명</t>
    <phoneticPr fontId="5" type="noConversion"/>
  </si>
  <si>
    <t>- 전기말 미사용 내역(번호 및 매수)</t>
    <phoneticPr fontId="5" type="noConversion"/>
  </si>
  <si>
    <t>- 어음수표구입상황(구입일자, 매수, 번호)</t>
    <phoneticPr fontId="5" type="noConversion"/>
  </si>
  <si>
    <t>- 발행상황(발행번호 및 매수)</t>
    <phoneticPr fontId="5" type="noConversion"/>
  </si>
  <si>
    <t>- 폐기내용(작성시 오기, 담보제공어음 회수등)</t>
    <phoneticPr fontId="5" type="noConversion"/>
  </si>
  <si>
    <t>- 미사용 내역(번호 및 매수)</t>
    <phoneticPr fontId="5" type="noConversion"/>
  </si>
  <si>
    <t>- 누락번호 및 매수</t>
    <phoneticPr fontId="5" type="noConversion"/>
  </si>
  <si>
    <t>2.</t>
    <phoneticPr fontId="5" type="noConversion"/>
  </si>
  <si>
    <t>어음수표 수불기록 확인(중도해지 은행을 포함하여야함)</t>
    <phoneticPr fontId="5" type="noConversion"/>
  </si>
  <si>
    <t>⑴ 전기말 미사용내역：전기말 Cut-off 자료, 어음수표부본, 발행대장등과 대조 확인</t>
    <phoneticPr fontId="5" type="noConversion"/>
  </si>
  <si>
    <r>
      <t xml:space="preserve">⑵ </t>
    </r>
    <r>
      <rPr>
        <sz val="10"/>
        <color indexed="8"/>
        <rFont val="맑은 고딕"/>
        <family val="3"/>
        <charset val="129"/>
        <scheme val="major"/>
      </rPr>
      <t>당기 교부받은 내역：은행별로 은행조회서 또는 은행보관 어음수표 교부대장사본과 비교확인</t>
    </r>
    <phoneticPr fontId="5" type="noConversion"/>
  </si>
  <si>
    <t>⑶ 당기 발행내역：</t>
    <phoneticPr fontId="5" type="noConversion"/>
  </si>
  <si>
    <t xml:space="preserve">② 비망기록(융통어음, 담보견질어음수표, 대여어음)을 검토하여 감사일현재 회수된 것은 실물을 확인하고 </t>
    <phoneticPr fontId="5" type="noConversion"/>
  </si>
  <si>
    <t>⑷ 폐기내역：실물확인하거나 은행보고용 자료에 의해 확인</t>
    <phoneticPr fontId="5" type="noConversion"/>
  </si>
  <si>
    <t>⑸ 미사용내역：현물을 실사하거나 어음수표발행대장과 어음수표부본을 개별대조 확인</t>
    <phoneticPr fontId="5" type="noConversion"/>
  </si>
  <si>
    <t>⑹ 자가어음 발행의 경우</t>
    <phoneticPr fontId="5" type="noConversion"/>
  </si>
  <si>
    <t>：은행도어음 이외에 자가어음을 발행하는 경우도 상기 절차에 준하여 추가적으로 부외부채 발생가능성 검토</t>
    <phoneticPr fontId="5" type="noConversion"/>
  </si>
  <si>
    <t>⑺ 은행조회서 또는 은행연합회 자료상의 확정지보금액과 회사의 수입업무와 관련하여 발생한 채무</t>
    <phoneticPr fontId="5" type="noConversion"/>
  </si>
  <si>
    <t>3.</t>
    <phoneticPr fontId="5" type="noConversion"/>
  </si>
  <si>
    <t>가계정(가지급․가수금)의 내용</t>
    <phoneticPr fontId="5" type="noConversion"/>
  </si>
  <si>
    <t>4.</t>
    <phoneticPr fontId="5" type="noConversion"/>
  </si>
  <si>
    <t>차입금 이외의 지급이자 검토</t>
    <phoneticPr fontId="5" type="noConversion"/>
  </si>
  <si>
    <t> 매입채무등 기간구분</t>
    <phoneticPr fontId="5" type="noConversion"/>
  </si>
  <si>
    <r>
      <t>파생상품</t>
    </r>
    <r>
      <rPr>
        <sz val="10"/>
        <color indexed="8"/>
        <rFont val="맑은 고딕"/>
        <family val="3"/>
        <charset val="129"/>
        <scheme val="major"/>
      </rPr>
      <t>거래내역</t>
    </r>
    <phoneticPr fontId="5" type="noConversion"/>
  </si>
  <si>
    <t>대차대조표일 전후의 자금거래내역 파악</t>
    <phoneticPr fontId="5" type="noConversion"/>
  </si>
  <si>
    <t xml:space="preserve">D/A, D/P 조건의 매입채무의 경우에는 은행조회서로 확인할 수 없다. </t>
    <phoneticPr fontId="5" type="noConversion"/>
  </si>
  <si>
    <t>D/A, D/P 조건의 매입채무의 부외부채 유무를 확인하기 위해서는 대차대조표일 이후의 매입송장</t>
    <phoneticPr fontId="5" type="noConversion"/>
  </si>
  <si>
    <t xml:space="preserve">    L/C관련 매입채무와 단기차입금에 포함된 수입관련 채무) 계상액을 비교하고 차이의 원인을 분석한다.</t>
    <phoneticPr fontId="5" type="noConversion"/>
  </si>
  <si>
    <t xml:space="preserve">㈜ 은행조회서에서 미회수어음수표내역이 확인되는 경우 그 미회수내용을 규명함으로서 위에 기술한 중복되는 절차 생략가능 </t>
    <phoneticPr fontId="5" type="noConversion"/>
  </si>
  <si>
    <t>2.</t>
    <phoneticPr fontId="7" type="noConversion"/>
  </si>
  <si>
    <t>2.</t>
    <phoneticPr fontId="7" type="noConversion"/>
  </si>
  <si>
    <t>3.</t>
    <phoneticPr fontId="7" type="noConversion"/>
  </si>
  <si>
    <t>4.</t>
    <phoneticPr fontId="7" type="noConversion"/>
  </si>
  <si>
    <r>
      <t>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금</t>
    </r>
    <phoneticPr fontId="5" type="noConversion"/>
  </si>
  <si>
    <r>
      <t>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잉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여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금</t>
    </r>
    <phoneticPr fontId="5" type="noConversion"/>
  </si>
  <si>
    <r>
      <t>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조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정</t>
    </r>
    <phoneticPr fontId="5" type="noConversion"/>
  </si>
  <si>
    <t>기타포괄손익</t>
    <phoneticPr fontId="5" type="noConversion"/>
  </si>
  <si>
    <r>
      <t>총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계</t>
    </r>
    <phoneticPr fontId="5" type="noConversion"/>
  </si>
  <si>
    <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  <phoneticPr fontId="5" type="noConversion"/>
  </si>
  <si>
    <r>
      <t>자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본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변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동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표</t>
    </r>
    <phoneticPr fontId="5" type="noConversion"/>
  </si>
  <si>
    <t>판매비와  관리비</t>
  </si>
  <si>
    <t>손 익 계 산 서</t>
    <phoneticPr fontId="5" type="noConversion"/>
  </si>
  <si>
    <t>매출액</t>
    <phoneticPr fontId="5" type="noConversion"/>
  </si>
  <si>
    <t>제품매출원가</t>
    <phoneticPr fontId="5" type="noConversion"/>
  </si>
  <si>
    <t>기초제품재고액</t>
    <phoneticPr fontId="5" type="noConversion"/>
  </si>
  <si>
    <t>당기제품제조원가</t>
    <phoneticPr fontId="5" type="noConversion"/>
  </si>
  <si>
    <t>기말제품재고액</t>
    <phoneticPr fontId="5" type="noConversion"/>
  </si>
  <si>
    <t>영업이익(손실)</t>
    <phoneticPr fontId="5" type="noConversion"/>
  </si>
  <si>
    <t>법인세비용차감전순이익(손실)</t>
    <phoneticPr fontId="5" type="noConversion"/>
  </si>
  <si>
    <t>법인세등(주석2)</t>
    <phoneticPr fontId="5" type="noConversion"/>
  </si>
  <si>
    <t>당기순이익(손실)(주석11)</t>
    <phoneticPr fontId="5" type="noConversion"/>
  </si>
  <si>
    <t>(4)</t>
    <phoneticPr fontId="5" type="noConversion"/>
  </si>
  <si>
    <r>
      <t>자</t>
    </r>
    <r>
      <rPr>
        <sz val="10"/>
        <rFont val="Times New Roman"/>
        <family val="1"/>
      </rPr>
      <t xml:space="preserve">                        </t>
    </r>
    <r>
      <rPr>
        <sz val="10"/>
        <rFont val="바탕"/>
        <family val="1"/>
        <charset val="129"/>
      </rPr>
      <t>산</t>
    </r>
  </si>
  <si>
    <r>
      <t>I.</t>
    </r>
    <r>
      <rPr>
        <sz val="10"/>
        <rFont val="바탕"/>
        <family val="1"/>
        <charset val="129"/>
      </rPr>
      <t>유동자산</t>
    </r>
  </si>
  <si>
    <t>　</t>
  </si>
  <si>
    <r>
      <t>(1)</t>
    </r>
    <r>
      <rPr>
        <sz val="10"/>
        <rFont val="바탕"/>
        <family val="1"/>
        <charset val="129"/>
      </rPr>
      <t>당좌자산</t>
    </r>
  </si>
  <si>
    <r>
      <t>1.</t>
    </r>
    <r>
      <rPr>
        <sz val="10"/>
        <rFont val="바탕"/>
        <family val="1"/>
        <charset val="129"/>
      </rPr>
      <t>현금및현금성자산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2,17,22)</t>
    </r>
  </si>
  <si>
    <r>
      <t>2.</t>
    </r>
    <r>
      <rPr>
        <sz val="10"/>
        <rFont val="바탕"/>
        <family val="1"/>
        <charset val="129"/>
      </rPr>
      <t>단기금융상품</t>
    </r>
  </si>
  <si>
    <r>
      <t>3.</t>
    </r>
    <r>
      <rPr>
        <sz val="10"/>
        <rFont val="바탕"/>
        <family val="1"/>
        <charset val="129"/>
      </rPr>
      <t>매출채권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8,17,19)</t>
    </r>
  </si>
  <si>
    <r>
      <t>4.</t>
    </r>
    <r>
      <rPr>
        <sz val="10"/>
        <rFont val="바탕"/>
        <family val="1"/>
        <charset val="129"/>
      </rPr>
      <t>미수수익</t>
    </r>
  </si>
  <si>
    <r>
      <t>5.</t>
    </r>
    <r>
      <rPr>
        <sz val="10"/>
        <rFont val="바탕"/>
        <family val="1"/>
        <charset val="129"/>
      </rPr>
      <t>미수금</t>
    </r>
  </si>
  <si>
    <r>
      <t>6.</t>
    </r>
    <r>
      <rPr>
        <sz val="10"/>
        <rFont val="바탕"/>
        <family val="1"/>
        <charset val="129"/>
      </rPr>
      <t>선납법인세</t>
    </r>
  </si>
  <si>
    <r>
      <t>7.</t>
    </r>
    <r>
      <rPr>
        <sz val="10"/>
        <rFont val="바탕"/>
        <family val="1"/>
        <charset val="129"/>
      </rPr>
      <t>종업원단기대여금</t>
    </r>
  </si>
  <si>
    <r>
      <t>8.</t>
    </r>
    <r>
      <rPr>
        <sz val="10"/>
        <rFont val="바탕"/>
        <family val="1"/>
        <charset val="129"/>
      </rPr>
      <t>선급금</t>
    </r>
  </si>
  <si>
    <r>
      <t>9.</t>
    </r>
    <r>
      <rPr>
        <sz val="10"/>
        <rFont val="바탕"/>
        <family val="1"/>
        <charset val="129"/>
      </rPr>
      <t>선급비용</t>
    </r>
  </si>
  <si>
    <r>
      <t>10.</t>
    </r>
    <r>
      <rPr>
        <sz val="10"/>
        <rFont val="바탕"/>
        <family val="1"/>
        <charset val="129"/>
      </rPr>
      <t>유동성이연법인세자산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2,15)</t>
    </r>
  </si>
  <si>
    <r>
      <t>(2)</t>
    </r>
    <r>
      <rPr>
        <sz val="10"/>
        <rFont val="바탕"/>
        <family val="1"/>
        <charset val="129"/>
      </rPr>
      <t>재고자산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2)</t>
    </r>
  </si>
  <si>
    <r>
      <t>1.</t>
    </r>
    <r>
      <rPr>
        <sz val="10"/>
        <rFont val="바탕"/>
        <family val="1"/>
        <charset val="129"/>
      </rPr>
      <t>제품</t>
    </r>
  </si>
  <si>
    <r>
      <t>2.</t>
    </r>
    <r>
      <rPr>
        <sz val="10"/>
        <rFont val="바탕"/>
        <family val="1"/>
        <charset val="129"/>
      </rPr>
      <t>원재료</t>
    </r>
  </si>
  <si>
    <r>
      <t>3.</t>
    </r>
    <r>
      <rPr>
        <sz val="10"/>
        <rFont val="바탕"/>
        <family val="1"/>
        <charset val="129"/>
      </rPr>
      <t>부재료</t>
    </r>
  </si>
  <si>
    <r>
      <t>4.</t>
    </r>
    <r>
      <rPr>
        <sz val="10"/>
        <rFont val="바탕"/>
        <family val="1"/>
        <charset val="129"/>
      </rPr>
      <t>재공품</t>
    </r>
  </si>
  <si>
    <r>
      <t>II.</t>
    </r>
    <r>
      <rPr>
        <sz val="10"/>
        <rFont val="바탕"/>
        <family val="1"/>
        <charset val="129"/>
      </rPr>
      <t>비유동자산</t>
    </r>
  </si>
  <si>
    <r>
      <t>(1)</t>
    </r>
    <r>
      <rPr>
        <sz val="10"/>
        <rFont val="바탕"/>
        <family val="1"/>
        <charset val="129"/>
      </rPr>
      <t>투자자산</t>
    </r>
  </si>
  <si>
    <r>
      <t>1.</t>
    </r>
    <r>
      <rPr>
        <sz val="10"/>
        <rFont val="바탕"/>
        <family val="1"/>
        <charset val="129"/>
      </rPr>
      <t>장기금융상품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3,9)</t>
    </r>
  </si>
  <si>
    <r>
      <t>2.</t>
    </r>
    <r>
      <rPr>
        <sz val="10"/>
        <rFont val="바탕"/>
        <family val="1"/>
        <charset val="129"/>
      </rPr>
      <t>매도가능증권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2,4)</t>
    </r>
  </si>
  <si>
    <r>
      <t>3.</t>
    </r>
    <r>
      <rPr>
        <sz val="10"/>
        <rFont val="바탕"/>
        <family val="1"/>
        <charset val="129"/>
      </rPr>
      <t>만기보유증권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2,4)</t>
    </r>
  </si>
  <si>
    <r>
      <t>4.</t>
    </r>
    <r>
      <rPr>
        <sz val="10"/>
        <rFont val="바탕"/>
        <family val="1"/>
        <charset val="129"/>
      </rPr>
      <t>지분법적용투자주식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2,5)</t>
    </r>
  </si>
  <si>
    <r>
      <t>(2)</t>
    </r>
    <r>
      <rPr>
        <sz val="10"/>
        <rFont val="바탕"/>
        <family val="1"/>
        <charset val="129"/>
      </rPr>
      <t>유형자산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2,6,7,9,10)</t>
    </r>
  </si>
  <si>
    <r>
      <t>1.</t>
    </r>
    <r>
      <rPr>
        <sz val="10"/>
        <rFont val="바탕"/>
        <family val="1"/>
        <charset val="129"/>
      </rPr>
      <t>토지</t>
    </r>
  </si>
  <si>
    <r>
      <t>2.</t>
    </r>
    <r>
      <rPr>
        <sz val="10"/>
        <rFont val="바탕"/>
        <family val="1"/>
        <charset val="129"/>
      </rPr>
      <t>건물</t>
    </r>
  </si>
  <si>
    <r>
      <t>3.</t>
    </r>
    <r>
      <rPr>
        <sz val="10"/>
        <rFont val="바탕"/>
        <family val="1"/>
        <charset val="129"/>
      </rPr>
      <t>구축물</t>
    </r>
  </si>
  <si>
    <r>
      <t>4.</t>
    </r>
    <r>
      <rPr>
        <sz val="10"/>
        <rFont val="바탕"/>
        <family val="1"/>
        <charset val="129"/>
      </rPr>
      <t>기계장치</t>
    </r>
  </si>
  <si>
    <r>
      <t>5.</t>
    </r>
    <r>
      <rPr>
        <sz val="10"/>
        <rFont val="바탕"/>
        <family val="1"/>
        <charset val="129"/>
      </rPr>
      <t>차량운반구</t>
    </r>
  </si>
  <si>
    <r>
      <t>6.</t>
    </r>
    <r>
      <rPr>
        <sz val="10"/>
        <rFont val="바탕"/>
        <family val="1"/>
        <charset val="129"/>
      </rPr>
      <t>공구와기구</t>
    </r>
  </si>
  <si>
    <r>
      <t>7.</t>
    </r>
    <r>
      <rPr>
        <sz val="10"/>
        <rFont val="바탕"/>
        <family val="1"/>
        <charset val="129"/>
      </rPr>
      <t>비품</t>
    </r>
  </si>
  <si>
    <r>
      <t>8.</t>
    </r>
    <r>
      <rPr>
        <sz val="10"/>
        <rFont val="바탕"/>
        <family val="1"/>
        <charset val="129"/>
      </rPr>
      <t>시설장치</t>
    </r>
  </si>
  <si>
    <r>
      <t>9.</t>
    </r>
    <r>
      <rPr>
        <sz val="10"/>
        <rFont val="바탕"/>
        <family val="1"/>
        <charset val="129"/>
      </rPr>
      <t>금형</t>
    </r>
  </si>
  <si>
    <r>
      <t>(3)</t>
    </r>
    <r>
      <rPr>
        <sz val="10"/>
        <rFont val="바탕"/>
        <family val="1"/>
        <charset val="129"/>
      </rPr>
      <t>무형자산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2,11)</t>
    </r>
  </si>
  <si>
    <r>
      <t>1.</t>
    </r>
    <r>
      <rPr>
        <sz val="10"/>
        <rFont val="바탕"/>
        <family val="1"/>
        <charset val="129"/>
      </rPr>
      <t>특허권</t>
    </r>
  </si>
  <si>
    <r>
      <t>(4)</t>
    </r>
    <r>
      <rPr>
        <sz val="10"/>
        <rFont val="바탕"/>
        <family val="1"/>
        <charset val="129"/>
      </rPr>
      <t>기타비유동자산</t>
    </r>
  </si>
  <si>
    <r>
      <t>1.</t>
    </r>
    <r>
      <rPr>
        <sz val="10"/>
        <rFont val="바탕"/>
        <family val="1"/>
        <charset val="129"/>
      </rPr>
      <t>보증금</t>
    </r>
  </si>
  <si>
    <r>
      <t>2.</t>
    </r>
    <r>
      <rPr>
        <sz val="10"/>
        <rFont val="바탕"/>
        <family val="1"/>
        <charset val="129"/>
      </rPr>
      <t>회원권</t>
    </r>
  </si>
  <si>
    <r>
      <t>3.</t>
    </r>
    <r>
      <rPr>
        <sz val="10"/>
        <rFont val="바탕"/>
        <family val="1"/>
        <charset val="129"/>
      </rPr>
      <t>이연법인세자산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2,15)</t>
    </r>
  </si>
  <si>
    <r>
      <t>자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산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총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계</t>
    </r>
  </si>
  <si>
    <r>
      <t>부</t>
    </r>
    <r>
      <rPr>
        <sz val="10"/>
        <rFont val="Times New Roman"/>
        <family val="1"/>
      </rPr>
      <t xml:space="preserve">                        </t>
    </r>
    <r>
      <rPr>
        <sz val="10"/>
        <rFont val="바탕"/>
        <family val="1"/>
        <charset val="129"/>
      </rPr>
      <t>채</t>
    </r>
  </si>
  <si>
    <r>
      <t>I.</t>
    </r>
    <r>
      <rPr>
        <sz val="10"/>
        <rFont val="바탕"/>
        <family val="1"/>
        <charset val="129"/>
      </rPr>
      <t>유동부채</t>
    </r>
  </si>
  <si>
    <r>
      <t>1.</t>
    </r>
    <r>
      <rPr>
        <sz val="10"/>
        <rFont val="바탕"/>
        <family val="1"/>
        <charset val="129"/>
      </rPr>
      <t>매입채무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8,17)</t>
    </r>
  </si>
  <si>
    <r>
      <t>2.</t>
    </r>
    <r>
      <rPr>
        <sz val="10"/>
        <rFont val="바탕"/>
        <family val="1"/>
        <charset val="129"/>
      </rPr>
      <t>미지급금</t>
    </r>
  </si>
  <si>
    <r>
      <t>3.</t>
    </r>
    <r>
      <rPr>
        <sz val="10"/>
        <rFont val="바탕"/>
        <family val="1"/>
        <charset val="129"/>
      </rPr>
      <t>예수금</t>
    </r>
  </si>
  <si>
    <r>
      <t>4.</t>
    </r>
    <r>
      <rPr>
        <sz val="10"/>
        <rFont val="바탕"/>
        <family val="1"/>
        <charset val="129"/>
      </rPr>
      <t>부가세예수금</t>
    </r>
  </si>
  <si>
    <r>
      <t>5.</t>
    </r>
    <r>
      <rPr>
        <sz val="10"/>
        <rFont val="바탕"/>
        <family val="1"/>
        <charset val="129"/>
      </rPr>
      <t>선수금</t>
    </r>
  </si>
  <si>
    <r>
      <t>6.</t>
    </r>
    <r>
      <rPr>
        <sz val="10"/>
        <rFont val="바탕"/>
        <family val="1"/>
        <charset val="129"/>
      </rPr>
      <t>단기차입금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12)</t>
    </r>
  </si>
  <si>
    <r>
      <t>7.</t>
    </r>
    <r>
      <rPr>
        <sz val="10"/>
        <rFont val="바탕"/>
        <family val="1"/>
        <charset val="129"/>
      </rPr>
      <t>미지급비용</t>
    </r>
  </si>
  <si>
    <r>
      <t>8.</t>
    </r>
    <r>
      <rPr>
        <sz val="10"/>
        <rFont val="바탕"/>
        <family val="1"/>
        <charset val="129"/>
      </rPr>
      <t>유동성장기부채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12)</t>
    </r>
  </si>
  <si>
    <r>
      <t>9.</t>
    </r>
    <r>
      <rPr>
        <sz val="10"/>
        <rFont val="바탕"/>
        <family val="1"/>
        <charset val="129"/>
      </rPr>
      <t>이연법인세부채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2,15)</t>
    </r>
  </si>
  <si>
    <r>
      <t>II.</t>
    </r>
    <r>
      <rPr>
        <sz val="10"/>
        <rFont val="바탕"/>
        <family val="1"/>
        <charset val="129"/>
      </rPr>
      <t>비유동부채</t>
    </r>
  </si>
  <si>
    <r>
      <t>1.</t>
    </r>
    <r>
      <rPr>
        <sz val="10"/>
        <rFont val="바탕"/>
        <family val="1"/>
        <charset val="129"/>
      </rPr>
      <t>장기차입금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12,20)</t>
    </r>
  </si>
  <si>
    <r>
      <t>2.</t>
    </r>
    <r>
      <rPr>
        <sz val="10"/>
        <rFont val="바탕"/>
        <family val="1"/>
        <charset val="129"/>
      </rPr>
      <t>수입보증금</t>
    </r>
  </si>
  <si>
    <r>
      <t>3.</t>
    </r>
    <r>
      <rPr>
        <sz val="10"/>
        <rFont val="바탕"/>
        <family val="1"/>
        <charset val="129"/>
      </rPr>
      <t>퇴직급여충당부채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2)</t>
    </r>
  </si>
  <si>
    <r>
      <t xml:space="preserve">  </t>
    </r>
    <r>
      <rPr>
        <sz val="10"/>
        <rFont val="바탕"/>
        <family val="1"/>
        <charset val="129"/>
      </rPr>
      <t>퇴직보험예치금</t>
    </r>
  </si>
  <si>
    <r>
      <t>4.</t>
    </r>
    <r>
      <rPr>
        <sz val="10"/>
        <rFont val="바탕"/>
        <family val="1"/>
        <charset val="129"/>
      </rPr>
      <t>이연법인세부채</t>
    </r>
  </si>
  <si>
    <r>
      <t>부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채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총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계</t>
    </r>
  </si>
  <si>
    <r>
      <t>자</t>
    </r>
    <r>
      <rPr>
        <sz val="10"/>
        <rFont val="Times New Roman"/>
        <family val="1"/>
      </rPr>
      <t xml:space="preserve">                        </t>
    </r>
    <r>
      <rPr>
        <sz val="10"/>
        <rFont val="바탕"/>
        <family val="1"/>
        <charset val="129"/>
      </rPr>
      <t>본</t>
    </r>
  </si>
  <si>
    <r>
      <t>I.</t>
    </r>
    <r>
      <rPr>
        <sz val="10"/>
        <rFont val="바탕"/>
        <family val="1"/>
        <charset val="129"/>
      </rPr>
      <t>자본금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1,14)</t>
    </r>
  </si>
  <si>
    <r>
      <t>1.</t>
    </r>
    <r>
      <rPr>
        <sz val="10"/>
        <rFont val="바탕"/>
        <family val="1"/>
        <charset val="129"/>
      </rPr>
      <t>보통주자본금</t>
    </r>
  </si>
  <si>
    <r>
      <t>II.</t>
    </r>
    <r>
      <rPr>
        <sz val="10"/>
        <rFont val="바탕"/>
        <family val="1"/>
        <charset val="129"/>
      </rPr>
      <t>자본잉여금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14)</t>
    </r>
  </si>
  <si>
    <r>
      <t>1.</t>
    </r>
    <r>
      <rPr>
        <sz val="10"/>
        <rFont val="바탕"/>
        <family val="1"/>
        <charset val="129"/>
      </rPr>
      <t>합병차익</t>
    </r>
  </si>
  <si>
    <r>
      <t>III.</t>
    </r>
    <r>
      <rPr>
        <sz val="10"/>
        <rFont val="바탕"/>
        <family val="1"/>
        <charset val="129"/>
      </rPr>
      <t>기타포괄손익누계액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21,22)</t>
    </r>
  </si>
  <si>
    <r>
      <t>1.</t>
    </r>
    <r>
      <rPr>
        <sz val="10"/>
        <rFont val="바탕"/>
        <family val="1"/>
        <charset val="129"/>
      </rPr>
      <t>매도가능증권평가이익</t>
    </r>
  </si>
  <si>
    <r>
      <t>2.</t>
    </r>
    <r>
      <rPr>
        <sz val="10"/>
        <rFont val="바탕"/>
        <family val="1"/>
        <charset val="129"/>
      </rPr>
      <t>지분법자본변동</t>
    </r>
  </si>
  <si>
    <r>
      <t>3.</t>
    </r>
    <r>
      <rPr>
        <sz val="10"/>
        <rFont val="바탕"/>
        <family val="1"/>
        <charset val="129"/>
      </rPr>
      <t>토지재평가차익</t>
    </r>
  </si>
  <si>
    <r>
      <t>IV.</t>
    </r>
    <r>
      <rPr>
        <sz val="10"/>
        <rFont val="바탕"/>
        <family val="1"/>
        <charset val="129"/>
      </rPr>
      <t>이익잉여금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14)</t>
    </r>
  </si>
  <si>
    <r>
      <t>1.</t>
    </r>
    <r>
      <rPr>
        <sz val="10"/>
        <rFont val="바탕"/>
        <family val="1"/>
        <charset val="129"/>
      </rPr>
      <t>이익준비금</t>
    </r>
  </si>
  <si>
    <r>
      <t>2.</t>
    </r>
    <r>
      <rPr>
        <sz val="10"/>
        <rFont val="바탕"/>
        <family val="1"/>
        <charset val="129"/>
      </rPr>
      <t>기업합리화적립금</t>
    </r>
  </si>
  <si>
    <r>
      <t>3.</t>
    </r>
    <r>
      <rPr>
        <sz val="10"/>
        <rFont val="바탕"/>
        <family val="1"/>
        <charset val="129"/>
      </rPr>
      <t>임의적립금</t>
    </r>
  </si>
  <si>
    <r>
      <t>4.</t>
    </r>
    <r>
      <rPr>
        <sz val="10"/>
        <rFont val="바탕"/>
        <family val="1"/>
        <charset val="129"/>
      </rPr>
      <t>중소기업투자준비금</t>
    </r>
  </si>
  <si>
    <r>
      <t>5.</t>
    </r>
    <r>
      <rPr>
        <sz val="10"/>
        <rFont val="바탕"/>
        <family val="1"/>
        <charset val="129"/>
      </rPr>
      <t>미처분이익잉여금</t>
    </r>
  </si>
  <si>
    <r>
      <t>자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총</t>
    </r>
    <r>
      <rPr>
        <sz val="10"/>
        <rFont val="Times New Roman"/>
        <family val="1"/>
      </rPr>
      <t xml:space="preserve">      </t>
    </r>
    <r>
      <rPr>
        <sz val="10"/>
        <rFont val="바탕"/>
        <family val="1"/>
        <charset val="129"/>
      </rPr>
      <t>계</t>
    </r>
  </si>
  <si>
    <r>
      <t>부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채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및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자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총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>계</t>
    </r>
  </si>
  <si>
    <r>
      <t>2.</t>
    </r>
    <r>
      <rPr>
        <sz val="10"/>
        <rFont val="바탕"/>
        <family val="1"/>
        <charset val="129"/>
      </rPr>
      <t>영업권</t>
    </r>
    <phoneticPr fontId="3" type="noConversion"/>
  </si>
  <si>
    <r>
      <t>3.</t>
    </r>
    <r>
      <rPr>
        <sz val="10"/>
        <rFont val="바탕"/>
        <family val="1"/>
        <charset val="129"/>
      </rPr>
      <t>개발비</t>
    </r>
    <phoneticPr fontId="3" type="noConversion"/>
  </si>
  <si>
    <t xml:space="preserve"> 국민연금전환금</t>
    <phoneticPr fontId="3" type="noConversion"/>
  </si>
  <si>
    <r>
      <rPr>
        <sz val="10"/>
        <rFont val="바탕"/>
        <family val="1"/>
        <charset val="129"/>
      </rPr>
      <t>과</t>
    </r>
    <r>
      <rPr>
        <sz val="10"/>
        <rFont val="Times New Roman"/>
        <family val="1"/>
      </rPr>
      <t xml:space="preserve">     </t>
    </r>
    <r>
      <rPr>
        <sz val="10"/>
        <rFont val="바탕"/>
        <family val="1"/>
        <charset val="129"/>
      </rPr>
      <t>목</t>
    </r>
    <phoneticPr fontId="3" type="noConversion"/>
  </si>
  <si>
    <r>
      <t>I.</t>
    </r>
    <r>
      <rPr>
        <sz val="10"/>
        <rFont val="바탕"/>
        <family val="1"/>
        <charset val="129"/>
      </rPr>
      <t>매출액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8)</t>
    </r>
  </si>
  <si>
    <r>
      <t>1.</t>
    </r>
    <r>
      <rPr>
        <sz val="10"/>
        <rFont val="바탕"/>
        <family val="1"/>
        <charset val="129"/>
      </rPr>
      <t>제품매출</t>
    </r>
  </si>
  <si>
    <r>
      <t>2.</t>
    </r>
    <r>
      <rPr>
        <sz val="10"/>
        <rFont val="바탕"/>
        <family val="1"/>
        <charset val="129"/>
      </rPr>
      <t>수출매출</t>
    </r>
  </si>
  <si>
    <r>
      <t>3.</t>
    </r>
    <r>
      <rPr>
        <sz val="10"/>
        <rFont val="바탕"/>
        <family val="1"/>
        <charset val="129"/>
      </rPr>
      <t>기타매출</t>
    </r>
  </si>
  <si>
    <r>
      <t>II.</t>
    </r>
    <r>
      <rPr>
        <sz val="10"/>
        <rFont val="바탕"/>
        <family val="1"/>
        <charset val="129"/>
      </rPr>
      <t>매출원가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8)</t>
    </r>
  </si>
  <si>
    <r>
      <t>(1)</t>
    </r>
    <r>
      <rPr>
        <sz val="10"/>
        <rFont val="바탕"/>
        <family val="1"/>
        <charset val="129"/>
      </rPr>
      <t>제품매출원가</t>
    </r>
  </si>
  <si>
    <r>
      <t>1.</t>
    </r>
    <r>
      <rPr>
        <sz val="10"/>
        <rFont val="바탕"/>
        <family val="1"/>
        <charset val="129"/>
      </rPr>
      <t>기초제품재고액</t>
    </r>
  </si>
  <si>
    <r>
      <t>2.</t>
    </r>
    <r>
      <rPr>
        <sz val="10"/>
        <rFont val="바탕"/>
        <family val="1"/>
        <charset val="129"/>
      </rPr>
      <t>당기제품제조원가</t>
    </r>
  </si>
  <si>
    <r>
      <t>3.</t>
    </r>
    <r>
      <rPr>
        <sz val="10"/>
        <rFont val="바탕"/>
        <family val="1"/>
        <charset val="129"/>
      </rPr>
      <t>기말제품재고액</t>
    </r>
  </si>
  <si>
    <r>
      <t>III.</t>
    </r>
    <r>
      <rPr>
        <sz val="10"/>
        <rFont val="바탕"/>
        <family val="1"/>
        <charset val="129"/>
      </rPr>
      <t>매출총이익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손실</t>
    </r>
    <r>
      <rPr>
        <sz val="10"/>
        <rFont val="Times New Roman"/>
        <family val="1"/>
      </rPr>
      <t>)</t>
    </r>
  </si>
  <si>
    <r>
      <t>IV.</t>
    </r>
    <r>
      <rPr>
        <sz val="10"/>
        <rFont val="바탕"/>
        <family val="1"/>
        <charset val="129"/>
      </rPr>
      <t>판매비와관리비</t>
    </r>
  </si>
  <si>
    <r>
      <t>1.</t>
    </r>
    <r>
      <rPr>
        <sz val="10"/>
        <rFont val="바탕"/>
        <family val="1"/>
        <charset val="129"/>
      </rPr>
      <t>급여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18)</t>
    </r>
  </si>
  <si>
    <r>
      <t>2.</t>
    </r>
    <r>
      <rPr>
        <sz val="10"/>
        <rFont val="바탕"/>
        <family val="1"/>
        <charset val="129"/>
      </rPr>
      <t>퇴직급여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18)</t>
    </r>
  </si>
  <si>
    <r>
      <t>3.</t>
    </r>
    <r>
      <rPr>
        <sz val="10"/>
        <rFont val="바탕"/>
        <family val="1"/>
        <charset val="129"/>
      </rPr>
      <t>복리후생비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18)</t>
    </r>
  </si>
  <si>
    <r>
      <t>4.</t>
    </r>
    <r>
      <rPr>
        <sz val="10"/>
        <rFont val="바탕"/>
        <family val="1"/>
        <charset val="129"/>
      </rPr>
      <t>여비교통비</t>
    </r>
  </si>
  <si>
    <r>
      <t>5.</t>
    </r>
    <r>
      <rPr>
        <sz val="10"/>
        <rFont val="바탕"/>
        <family val="1"/>
        <charset val="129"/>
      </rPr>
      <t>접대비</t>
    </r>
  </si>
  <si>
    <r>
      <t>6.</t>
    </r>
    <r>
      <rPr>
        <sz val="10"/>
        <rFont val="바탕"/>
        <family val="1"/>
        <charset val="129"/>
      </rPr>
      <t>통신비</t>
    </r>
  </si>
  <si>
    <r>
      <t>7.</t>
    </r>
    <r>
      <rPr>
        <sz val="10"/>
        <rFont val="바탕"/>
        <family val="1"/>
        <charset val="129"/>
      </rPr>
      <t>세금과공과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18)</t>
    </r>
  </si>
  <si>
    <r>
      <t>8.</t>
    </r>
    <r>
      <rPr>
        <sz val="10"/>
        <rFont val="바탕"/>
        <family val="1"/>
        <charset val="129"/>
      </rPr>
      <t>감가상각비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18)</t>
    </r>
  </si>
  <si>
    <r>
      <t>9.</t>
    </r>
    <r>
      <rPr>
        <sz val="10"/>
        <rFont val="바탕"/>
        <family val="1"/>
        <charset val="129"/>
      </rPr>
      <t>수선비</t>
    </r>
  </si>
  <si>
    <r>
      <t>10.</t>
    </r>
    <r>
      <rPr>
        <sz val="10"/>
        <rFont val="바탕"/>
        <family val="1"/>
        <charset val="129"/>
      </rPr>
      <t>보험료</t>
    </r>
  </si>
  <si>
    <r>
      <t>11.</t>
    </r>
    <r>
      <rPr>
        <sz val="10"/>
        <rFont val="바탕"/>
        <family val="1"/>
        <charset val="129"/>
      </rPr>
      <t>차량유지비</t>
    </r>
  </si>
  <si>
    <r>
      <t>12.</t>
    </r>
    <r>
      <rPr>
        <sz val="10"/>
        <rFont val="바탕"/>
        <family val="1"/>
        <charset val="129"/>
      </rPr>
      <t>경상개발연구비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13)</t>
    </r>
  </si>
  <si>
    <r>
      <t>13.</t>
    </r>
    <r>
      <rPr>
        <sz val="10"/>
        <rFont val="바탕"/>
        <family val="1"/>
        <charset val="129"/>
      </rPr>
      <t>교육훈련비</t>
    </r>
  </si>
  <si>
    <r>
      <t>14.</t>
    </r>
    <r>
      <rPr>
        <sz val="10"/>
        <rFont val="바탕"/>
        <family val="1"/>
        <charset val="129"/>
      </rPr>
      <t>도서인쇄비</t>
    </r>
  </si>
  <si>
    <r>
      <t>15.</t>
    </r>
    <r>
      <rPr>
        <sz val="10"/>
        <rFont val="바탕"/>
        <family val="1"/>
        <charset val="129"/>
      </rPr>
      <t>소모품비</t>
    </r>
  </si>
  <si>
    <r>
      <t>16.</t>
    </r>
    <r>
      <rPr>
        <sz val="10"/>
        <rFont val="바탕"/>
        <family val="1"/>
        <charset val="129"/>
      </rPr>
      <t>지급수수료</t>
    </r>
  </si>
  <si>
    <r>
      <t>17.</t>
    </r>
    <r>
      <rPr>
        <sz val="10"/>
        <rFont val="바탕"/>
        <family val="1"/>
        <charset val="129"/>
      </rPr>
      <t>대손상각비</t>
    </r>
  </si>
  <si>
    <r>
      <t>18.</t>
    </r>
    <r>
      <rPr>
        <sz val="10"/>
        <rFont val="바탕"/>
        <family val="1"/>
        <charset val="129"/>
      </rPr>
      <t>수출제비용</t>
    </r>
  </si>
  <si>
    <r>
      <t>19.</t>
    </r>
    <r>
      <rPr>
        <sz val="10"/>
        <rFont val="바탕"/>
        <family val="1"/>
        <charset val="129"/>
      </rPr>
      <t>무형자산상각비</t>
    </r>
  </si>
  <si>
    <r>
      <t>20.</t>
    </r>
    <r>
      <rPr>
        <sz val="10"/>
        <rFont val="바탕"/>
        <family val="1"/>
        <charset val="129"/>
      </rPr>
      <t>잡비</t>
    </r>
  </si>
  <si>
    <r>
      <t>V.</t>
    </r>
    <r>
      <rPr>
        <sz val="10"/>
        <rFont val="바탕"/>
        <family val="1"/>
        <charset val="129"/>
      </rPr>
      <t>영업이익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손실</t>
    </r>
    <r>
      <rPr>
        <sz val="10"/>
        <rFont val="Times New Roman"/>
        <family val="1"/>
      </rPr>
      <t>)</t>
    </r>
  </si>
  <si>
    <r>
      <t>VI.</t>
    </r>
    <r>
      <rPr>
        <sz val="10"/>
        <rFont val="바탕"/>
        <family val="1"/>
        <charset val="129"/>
      </rPr>
      <t>영업외수익</t>
    </r>
  </si>
  <si>
    <r>
      <t>1.</t>
    </r>
    <r>
      <rPr>
        <sz val="10"/>
        <rFont val="바탕"/>
        <family val="1"/>
        <charset val="129"/>
      </rPr>
      <t>이자수익</t>
    </r>
  </si>
  <si>
    <r>
      <t>2.</t>
    </r>
    <r>
      <rPr>
        <sz val="10"/>
        <rFont val="바탕"/>
        <family val="1"/>
        <charset val="129"/>
      </rPr>
      <t>외환차익</t>
    </r>
  </si>
  <si>
    <r>
      <t>3.</t>
    </r>
    <r>
      <rPr>
        <sz val="10"/>
        <rFont val="바탕"/>
        <family val="1"/>
        <charset val="129"/>
      </rPr>
      <t>대손충당금환입</t>
    </r>
  </si>
  <si>
    <r>
      <t>4.</t>
    </r>
    <r>
      <rPr>
        <sz val="10"/>
        <rFont val="바탕"/>
        <family val="1"/>
        <charset val="129"/>
      </rPr>
      <t>외화환산이익</t>
    </r>
  </si>
  <si>
    <r>
      <t>5.</t>
    </r>
    <r>
      <rPr>
        <sz val="10"/>
        <rFont val="바탕"/>
        <family val="1"/>
        <charset val="129"/>
      </rPr>
      <t>유형자산처분이익</t>
    </r>
  </si>
  <si>
    <r>
      <t>6.</t>
    </r>
    <r>
      <rPr>
        <sz val="10"/>
        <rFont val="바탕"/>
        <family val="1"/>
        <charset val="129"/>
      </rPr>
      <t>전기오류수정이익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7)</t>
    </r>
  </si>
  <si>
    <r>
      <t>7.</t>
    </r>
    <r>
      <rPr>
        <sz val="10"/>
        <rFont val="바탕"/>
        <family val="1"/>
        <charset val="129"/>
      </rPr>
      <t>잡이익</t>
    </r>
  </si>
  <si>
    <r>
      <t>VII.</t>
    </r>
    <r>
      <rPr>
        <sz val="10"/>
        <rFont val="바탕"/>
        <family val="1"/>
        <charset val="129"/>
      </rPr>
      <t>영업외비용</t>
    </r>
  </si>
  <si>
    <r>
      <t>1.</t>
    </r>
    <r>
      <rPr>
        <sz val="10"/>
        <rFont val="바탕"/>
        <family val="1"/>
        <charset val="129"/>
      </rPr>
      <t>이자비용</t>
    </r>
  </si>
  <si>
    <r>
      <t>2.</t>
    </r>
    <r>
      <rPr>
        <sz val="10"/>
        <rFont val="바탕"/>
        <family val="1"/>
        <charset val="129"/>
      </rPr>
      <t>외환차손</t>
    </r>
  </si>
  <si>
    <r>
      <t>3.</t>
    </r>
    <r>
      <rPr>
        <sz val="10"/>
        <rFont val="바탕"/>
        <family val="1"/>
        <charset val="129"/>
      </rPr>
      <t>기부금</t>
    </r>
  </si>
  <si>
    <r>
      <t>4.</t>
    </r>
    <r>
      <rPr>
        <sz val="10"/>
        <rFont val="바탕"/>
        <family val="1"/>
        <charset val="129"/>
      </rPr>
      <t>기타의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대손상각비</t>
    </r>
  </si>
  <si>
    <r>
      <t>5.</t>
    </r>
    <r>
      <rPr>
        <sz val="10"/>
        <rFont val="바탕"/>
        <family val="1"/>
        <charset val="129"/>
      </rPr>
      <t>외화환산손실</t>
    </r>
  </si>
  <si>
    <r>
      <t>6.</t>
    </r>
    <r>
      <rPr>
        <sz val="10"/>
        <rFont val="바탕"/>
        <family val="1"/>
        <charset val="129"/>
      </rPr>
      <t>매출채권처분손실</t>
    </r>
  </si>
  <si>
    <r>
      <t>7.</t>
    </r>
    <r>
      <rPr>
        <sz val="10"/>
        <rFont val="바탕"/>
        <family val="1"/>
        <charset val="129"/>
      </rPr>
      <t>지분법손실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5)</t>
    </r>
  </si>
  <si>
    <r>
      <t>8.</t>
    </r>
    <r>
      <rPr>
        <sz val="10"/>
        <rFont val="바탕"/>
        <family val="1"/>
        <charset val="129"/>
      </rPr>
      <t>유가증권처분손실</t>
    </r>
  </si>
  <si>
    <r>
      <t>9.</t>
    </r>
    <r>
      <rPr>
        <sz val="10"/>
        <rFont val="바탕"/>
        <family val="1"/>
        <charset val="129"/>
      </rPr>
      <t>유형자산처분손실</t>
    </r>
  </si>
  <si>
    <r>
      <t>10.</t>
    </r>
    <r>
      <rPr>
        <sz val="10"/>
        <rFont val="바탕"/>
        <family val="1"/>
        <charset val="129"/>
      </rPr>
      <t>투자자산처분손실</t>
    </r>
  </si>
  <si>
    <r>
      <t>11.</t>
    </r>
    <r>
      <rPr>
        <sz val="10"/>
        <rFont val="바탕"/>
        <family val="1"/>
        <charset val="129"/>
      </rPr>
      <t>매도가능증권처분손실</t>
    </r>
  </si>
  <si>
    <r>
      <t>12.</t>
    </r>
    <r>
      <rPr>
        <sz val="10"/>
        <rFont val="바탕"/>
        <family val="1"/>
        <charset val="129"/>
      </rPr>
      <t>금융상품평가손실</t>
    </r>
  </si>
  <si>
    <r>
      <t>13.</t>
    </r>
    <r>
      <rPr>
        <sz val="10"/>
        <rFont val="바탕"/>
        <family val="1"/>
        <charset val="129"/>
      </rPr>
      <t>전기오류수정손실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4)</t>
    </r>
  </si>
  <si>
    <r>
      <t>14.</t>
    </r>
    <r>
      <rPr>
        <sz val="10"/>
        <rFont val="바탕"/>
        <family val="1"/>
        <charset val="129"/>
      </rPr>
      <t>잡손실</t>
    </r>
  </si>
  <si>
    <r>
      <t>VIII.</t>
    </r>
    <r>
      <rPr>
        <sz val="10"/>
        <rFont val="바탕"/>
        <family val="1"/>
        <charset val="129"/>
      </rPr>
      <t>법인세비용차감전순이익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손실</t>
    </r>
    <r>
      <rPr>
        <sz val="10"/>
        <rFont val="Times New Roman"/>
        <family val="1"/>
      </rPr>
      <t>)</t>
    </r>
  </si>
  <si>
    <r>
      <t>IX.</t>
    </r>
    <r>
      <rPr>
        <sz val="10"/>
        <rFont val="바탕"/>
        <family val="1"/>
        <charset val="129"/>
      </rPr>
      <t>법인세비용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15)</t>
    </r>
  </si>
  <si>
    <r>
      <t>X.</t>
    </r>
    <r>
      <rPr>
        <sz val="10"/>
        <rFont val="바탕"/>
        <family val="1"/>
        <charset val="129"/>
      </rPr>
      <t>당기순이익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손실</t>
    </r>
    <r>
      <rPr>
        <sz val="10"/>
        <rFont val="Times New Roman"/>
        <family val="1"/>
      </rPr>
      <t>)</t>
    </r>
  </si>
  <si>
    <r>
      <t>1.</t>
    </r>
    <r>
      <rPr>
        <sz val="10"/>
        <rFont val="바탕"/>
        <family val="1"/>
        <charset val="129"/>
      </rPr>
      <t>주당순이익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손실</t>
    </r>
    <r>
      <rPr>
        <sz val="10"/>
        <rFont val="Times New Roman"/>
        <family val="1"/>
      </rPr>
      <t>)</t>
    </r>
  </si>
  <si>
    <r>
      <t>XI.</t>
    </r>
    <r>
      <rPr>
        <sz val="10"/>
        <rFont val="바탕"/>
        <family val="1"/>
        <charset val="129"/>
      </rPr>
      <t>주당손익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16)</t>
    </r>
  </si>
  <si>
    <r>
      <t>I.</t>
    </r>
    <r>
      <rPr>
        <sz val="10"/>
        <rFont val="바탕"/>
        <family val="1"/>
        <charset val="129"/>
      </rPr>
      <t>미처분이익잉여금</t>
    </r>
  </si>
  <si>
    <r>
      <t>1.</t>
    </r>
    <r>
      <rPr>
        <sz val="10"/>
        <rFont val="바탕"/>
        <family val="1"/>
        <charset val="129"/>
      </rPr>
      <t>전기이월미처분이익잉여금</t>
    </r>
  </si>
  <si>
    <r>
      <t>2.</t>
    </r>
    <r>
      <rPr>
        <sz val="10"/>
        <rFont val="바탕"/>
        <family val="1"/>
        <charset val="129"/>
      </rPr>
      <t>당기순이익</t>
    </r>
  </si>
  <si>
    <r>
      <t>II.</t>
    </r>
    <r>
      <rPr>
        <sz val="10"/>
        <rFont val="바탕"/>
        <family val="1"/>
        <charset val="129"/>
      </rPr>
      <t>임의적립금등의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이입액</t>
    </r>
  </si>
  <si>
    <r>
      <t xml:space="preserve">1. </t>
    </r>
    <r>
      <rPr>
        <sz val="10"/>
        <rFont val="바탕"/>
        <family val="1"/>
        <charset val="129"/>
      </rPr>
      <t>중소기업투자준비금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환입</t>
    </r>
  </si>
  <si>
    <r>
      <t>III.</t>
    </r>
    <r>
      <rPr>
        <sz val="10"/>
        <rFont val="바탕"/>
        <family val="1"/>
        <charset val="129"/>
      </rPr>
      <t>잉여금처분액</t>
    </r>
    <phoneticPr fontId="3" type="noConversion"/>
  </si>
  <si>
    <r>
      <t>IV.</t>
    </r>
    <r>
      <rPr>
        <sz val="10"/>
        <rFont val="바탕"/>
        <family val="1"/>
        <charset val="129"/>
      </rPr>
      <t>차기이월미처분이익잉여금</t>
    </r>
    <phoneticPr fontId="3" type="noConversion"/>
  </si>
  <si>
    <r>
      <t>I.</t>
    </r>
    <r>
      <rPr>
        <sz val="10"/>
        <rFont val="바탕"/>
        <family val="1"/>
        <charset val="129"/>
      </rPr>
      <t>영업활동으로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현금흐름</t>
    </r>
  </si>
  <si>
    <r>
      <t>1.</t>
    </r>
    <r>
      <rPr>
        <sz val="10"/>
        <rFont val="바탕"/>
        <family val="1"/>
        <charset val="129"/>
      </rPr>
      <t>당기순이익</t>
    </r>
  </si>
  <si>
    <r>
      <t>2.</t>
    </r>
    <r>
      <rPr>
        <sz val="10"/>
        <rFont val="바탕"/>
        <family val="1"/>
        <charset val="129"/>
      </rPr>
      <t>현금의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유출이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없는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비용등의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가산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</si>
  <si>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감가상각비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</si>
  <si>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퇴직급여</t>
    </r>
  </si>
  <si>
    <r>
      <t>다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무형자산상각비</t>
    </r>
  </si>
  <si>
    <r>
      <t>라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대손상각비</t>
    </r>
  </si>
  <si>
    <r>
      <t>마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기타의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대손상각비</t>
    </r>
  </si>
  <si>
    <r>
      <t>바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금융상품평가손실</t>
    </r>
  </si>
  <si>
    <r>
      <t>사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외화환산손실</t>
    </r>
  </si>
  <si>
    <r>
      <t>아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유형자산처분손실</t>
    </r>
  </si>
  <si>
    <r>
      <t>자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매도가능증권처분손실</t>
    </r>
  </si>
  <si>
    <r>
      <t>차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만기보유증권처분손실</t>
    </r>
  </si>
  <si>
    <r>
      <t>카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지분법손실</t>
    </r>
  </si>
  <si>
    <r>
      <t>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매출채권처분손실</t>
    </r>
  </si>
  <si>
    <r>
      <t>파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전기오류수정손실</t>
    </r>
  </si>
  <si>
    <r>
      <t>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투자자산처분손실</t>
    </r>
  </si>
  <si>
    <r>
      <t>3.</t>
    </r>
    <r>
      <rPr>
        <sz val="10"/>
        <rFont val="바탕"/>
        <family val="1"/>
        <charset val="129"/>
      </rPr>
      <t>현금의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유입이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없는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수익등의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차감</t>
    </r>
    <r>
      <rPr>
        <sz val="10"/>
        <rFont val="Times New Roman"/>
        <family val="1"/>
      </rPr>
      <t xml:space="preserve"> 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</si>
  <si>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외화환산이익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</si>
  <si>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대손충당금환입</t>
    </r>
  </si>
  <si>
    <r>
      <t>다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유형자산처분이익</t>
    </r>
  </si>
  <si>
    <r>
      <t>라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전기오류수정이익</t>
    </r>
  </si>
  <si>
    <r>
      <t>4.</t>
    </r>
    <r>
      <rPr>
        <sz val="10"/>
        <rFont val="바탕"/>
        <family val="1"/>
        <charset val="129"/>
      </rPr>
      <t>영업활동으로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자산부채의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변동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</si>
  <si>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매출채권의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)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</si>
  <si>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미수수익의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)</t>
    </r>
  </si>
  <si>
    <r>
      <t>다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선급금의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</si>
  <si>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라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선급비용의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</si>
  <si>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마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미수금의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</si>
  <si>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바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재고자산의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</si>
  <si>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사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선급법인세의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)</t>
    </r>
  </si>
  <si>
    <r>
      <t>아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매입채무의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</si>
  <si>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자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미지급금의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</si>
  <si>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차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예수금의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)</t>
    </r>
  </si>
  <si>
    <r>
      <t>카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선수금의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)</t>
    </r>
  </si>
  <si>
    <r>
      <t>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미지급비용의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)</t>
    </r>
  </si>
  <si>
    <r>
      <t>파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미지급법인세의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)</t>
    </r>
  </si>
  <si>
    <r>
      <t>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부가세예수금의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</si>
  <si>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거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퇴직금의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지급</t>
    </r>
  </si>
  <si>
    <r>
      <t>너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퇴직예치금의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)</t>
    </r>
  </si>
  <si>
    <r>
      <t>더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이연법인세자산의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</si>
  <si>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러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이연법인세부채의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</si>
  <si>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II.</t>
    </r>
    <r>
      <rPr>
        <sz val="10"/>
        <rFont val="바탕"/>
        <family val="1"/>
        <charset val="129"/>
      </rPr>
      <t>투자활동으로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현금흐름</t>
    </r>
  </si>
  <si>
    <r>
      <t>1.</t>
    </r>
    <r>
      <rPr>
        <sz val="10"/>
        <rFont val="바탕"/>
        <family val="1"/>
        <charset val="129"/>
      </rPr>
      <t>투자활동으로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현금유입액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</si>
  <si>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단기금융상품의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</si>
  <si>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단기대여금의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</si>
  <si>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다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매도가능증권의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</si>
  <si>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라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장기금융상품의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</si>
  <si>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마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토지의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</si>
  <si>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바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건물의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</si>
  <si>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사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기계장치의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</si>
  <si>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아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차량운반구의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</si>
  <si>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자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기타유형자산의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처분</t>
    </r>
  </si>
  <si>
    <r>
      <t>차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보증금의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감소</t>
    </r>
  </si>
  <si>
    <r>
      <t>2.</t>
    </r>
    <r>
      <rPr>
        <sz val="10"/>
        <rFont val="바탕"/>
        <family val="1"/>
        <charset val="129"/>
      </rPr>
      <t>투자활동으로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현금유출액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</si>
  <si>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단기금융상품의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</si>
  <si>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단기대여금의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</si>
  <si>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다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장기금융상품증가</t>
    </r>
  </si>
  <si>
    <r>
      <t>라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매도가능증권의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</si>
  <si>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마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보증금의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</si>
  <si>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바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건물의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</si>
  <si>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사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구축물의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</si>
  <si>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아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기계장치의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</si>
  <si>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자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차량운반구의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</si>
  <si>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차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기타의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유형자산의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취득</t>
    </r>
  </si>
  <si>
    <r>
      <t>카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건설중인자산의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</si>
  <si>
    <r>
      <t>III.</t>
    </r>
    <r>
      <rPr>
        <sz val="10"/>
        <rFont val="바탕"/>
        <family val="1"/>
        <charset val="129"/>
      </rPr>
      <t>재무활동으로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현금흐름</t>
    </r>
  </si>
  <si>
    <r>
      <t>1.</t>
    </r>
    <r>
      <rPr>
        <sz val="10"/>
        <rFont val="바탕"/>
        <family val="1"/>
        <charset val="129"/>
      </rPr>
      <t>재무활동으로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현금유입액</t>
    </r>
  </si>
  <si>
    <r>
      <t>가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단기차입금의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차입</t>
    </r>
  </si>
  <si>
    <r>
      <t>나</t>
    </r>
    <r>
      <rPr>
        <sz val="10"/>
        <rFont val="Times New Roman"/>
        <family val="1"/>
      </rPr>
      <t>.</t>
    </r>
    <r>
      <rPr>
        <sz val="10"/>
        <rFont val="바탕"/>
        <family val="1"/>
        <charset val="129"/>
      </rPr>
      <t>장기차입금의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차입</t>
    </r>
  </si>
  <si>
    <r>
      <t>2.</t>
    </r>
    <r>
      <rPr>
        <sz val="10"/>
        <rFont val="바탕"/>
        <family val="1"/>
        <charset val="129"/>
      </rPr>
      <t>재무활동으로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인한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현금유출액</t>
    </r>
  </si>
  <si>
    <r>
      <t>IV.</t>
    </r>
    <r>
      <rPr>
        <sz val="10"/>
        <rFont val="바탕"/>
        <family val="1"/>
        <charset val="129"/>
      </rPr>
      <t>현금의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증가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감소</t>
    </r>
    <r>
      <rPr>
        <sz val="10"/>
        <rFont val="Times New Roman"/>
        <family val="1"/>
      </rPr>
      <t>) (I + II + III)</t>
    </r>
  </si>
  <si>
    <r>
      <t>V.</t>
    </r>
    <r>
      <rPr>
        <sz val="10"/>
        <rFont val="바탕"/>
        <family val="1"/>
        <charset val="129"/>
      </rPr>
      <t>기초의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</t>
    </r>
  </si>
  <si>
    <r>
      <t>VI.</t>
    </r>
    <r>
      <rPr>
        <sz val="10"/>
        <rFont val="바탕"/>
        <family val="1"/>
        <charset val="129"/>
      </rPr>
      <t>기말의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현금</t>
    </r>
  </si>
  <si>
    <r>
      <t>1.</t>
    </r>
    <r>
      <rPr>
        <sz val="10"/>
        <rFont val="바탕"/>
        <family val="1"/>
        <charset val="129"/>
      </rPr>
      <t>감자차손의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환입</t>
    </r>
  </si>
  <si>
    <r>
      <t>3.</t>
    </r>
    <r>
      <rPr>
        <sz val="10"/>
        <rFont val="바탕"/>
        <family val="1"/>
        <charset val="129"/>
      </rPr>
      <t>매도가능증권평가이익</t>
    </r>
  </si>
  <si>
    <r>
      <t>2.</t>
    </r>
    <r>
      <rPr>
        <sz val="10"/>
        <rFont val="바탕"/>
        <family val="1"/>
        <charset val="129"/>
      </rPr>
      <t>매도가능증권평가이익</t>
    </r>
  </si>
  <si>
    <r>
      <t>3.</t>
    </r>
    <r>
      <rPr>
        <sz val="10"/>
        <rFont val="바탕"/>
        <family val="1"/>
        <charset val="129"/>
      </rPr>
      <t>지분법자본변동</t>
    </r>
  </si>
  <si>
    <r>
      <t>4.</t>
    </r>
    <r>
      <rPr>
        <sz val="10"/>
        <rFont val="바탕"/>
        <family val="1"/>
        <charset val="129"/>
      </rPr>
      <t>토지재평가차익</t>
    </r>
  </si>
  <si>
    <t xml:space="preserve">   자                산</t>
  </si>
  <si>
    <t>1.</t>
    <phoneticPr fontId="5" type="noConversion"/>
  </si>
  <si>
    <t>2.</t>
    <phoneticPr fontId="5" type="noConversion"/>
  </si>
  <si>
    <t>3.</t>
    <phoneticPr fontId="5" type="noConversion"/>
  </si>
  <si>
    <t>4.</t>
    <phoneticPr fontId="5" type="noConversion"/>
  </si>
  <si>
    <t>가.</t>
    <phoneticPr fontId="5" type="noConversion"/>
  </si>
  <si>
    <t>당기중 회계이익과 과세소득간의 세무조정항목별 내역은 다음과 같습니다.</t>
    <phoneticPr fontId="5" type="noConversion"/>
  </si>
  <si>
    <t>(1)익금산입 및 손금불산입</t>
    <phoneticPr fontId="5" type="noConversion"/>
  </si>
  <si>
    <t>법인세비용차감전순이익</t>
    <phoneticPr fontId="5" type="noConversion"/>
  </si>
  <si>
    <t>익금산입/손금불산입</t>
    <phoneticPr fontId="5" type="noConversion"/>
  </si>
  <si>
    <t>이월결손금</t>
    <phoneticPr fontId="5" type="noConversion"/>
  </si>
  <si>
    <t>기말과세표준</t>
    <phoneticPr fontId="5" type="noConversion"/>
  </si>
  <si>
    <t>산출세액</t>
    <phoneticPr fontId="5" type="noConversion"/>
  </si>
  <si>
    <t>세액감면</t>
    <phoneticPr fontId="5" type="noConversion"/>
  </si>
  <si>
    <t>세액공제</t>
    <phoneticPr fontId="5" type="noConversion"/>
  </si>
  <si>
    <t>중간예납세액</t>
    <phoneticPr fontId="5" type="noConversion"/>
  </si>
  <si>
    <t>원천납부세액</t>
    <phoneticPr fontId="5" type="noConversion"/>
  </si>
  <si>
    <t>납부할세액</t>
    <phoneticPr fontId="5" type="noConversion"/>
  </si>
  <si>
    <t>분납할세액</t>
    <phoneticPr fontId="5" type="noConversion"/>
  </si>
  <si>
    <t>주민세</t>
    <phoneticPr fontId="7" type="noConversion"/>
  </si>
  <si>
    <t>총계</t>
    <phoneticPr fontId="7" type="noConversion"/>
  </si>
  <si>
    <t>이연법인세해당</t>
    <phoneticPr fontId="5" type="noConversion"/>
  </si>
  <si>
    <t>소  계</t>
    <phoneticPr fontId="5" type="noConversion"/>
  </si>
  <si>
    <t>(2)손금산입 및 익금불산입</t>
    <phoneticPr fontId="5" type="noConversion"/>
  </si>
  <si>
    <t>소 계</t>
    <phoneticPr fontId="5" type="noConversion"/>
  </si>
  <si>
    <t>나.</t>
    <phoneticPr fontId="3" type="noConversion"/>
  </si>
  <si>
    <t>기업회계상 법인세비용차감전순이익(손실)과 세무회계상 과세소득의 차이내역은 다음과 같습니다.</t>
    <phoneticPr fontId="3" type="noConversion"/>
  </si>
  <si>
    <t>구 분</t>
    <phoneticPr fontId="3" type="noConversion"/>
  </si>
  <si>
    <t>기 초</t>
    <phoneticPr fontId="3" type="noConversion"/>
  </si>
  <si>
    <t>감 소</t>
    <phoneticPr fontId="3" type="noConversion"/>
  </si>
  <si>
    <t>증 가</t>
    <phoneticPr fontId="3" type="noConversion"/>
  </si>
  <si>
    <t>기 말</t>
    <phoneticPr fontId="3" type="noConversion"/>
  </si>
  <si>
    <t>외화환산손실</t>
    <phoneticPr fontId="3" type="noConversion"/>
  </si>
  <si>
    <t>외화환산이익</t>
    <phoneticPr fontId="3" type="noConversion"/>
  </si>
  <si>
    <t>이월결손금-소급공제적용분</t>
    <phoneticPr fontId="3" type="noConversion"/>
  </si>
  <si>
    <t>법인세율</t>
  </si>
  <si>
    <t>자본에 가감된 법인세 비용</t>
    <phoneticPr fontId="5" type="noConversion"/>
  </si>
  <si>
    <t>유동성이연법인세자산(부채) - FS</t>
    <phoneticPr fontId="3" type="noConversion"/>
  </si>
  <si>
    <t>비유동이연법인세자산(부채) - FS</t>
    <phoneticPr fontId="3" type="noConversion"/>
  </si>
  <si>
    <t>총 액</t>
    <phoneticPr fontId="7" type="noConversion"/>
  </si>
  <si>
    <t>당기 법인세 부담액</t>
    <phoneticPr fontId="5" type="noConversion"/>
  </si>
  <si>
    <t>일시적차이로 인한 이연법인세 변동액</t>
    <phoneticPr fontId="5" type="noConversion"/>
  </si>
  <si>
    <t>자본에 가감된 법인세 비용</t>
    <phoneticPr fontId="5" type="noConversion"/>
  </si>
  <si>
    <t>결손금소급공제애 따른 법인세 비용</t>
    <phoneticPr fontId="3" type="noConversion"/>
  </si>
  <si>
    <t>전기오류수정에 따른 법인세비용</t>
    <phoneticPr fontId="3" type="noConversion"/>
  </si>
  <si>
    <t>법인세 비용</t>
    <phoneticPr fontId="5" type="noConversion"/>
  </si>
  <si>
    <t>다.</t>
    <phoneticPr fontId="3" type="noConversion"/>
  </si>
  <si>
    <t>총액기준에 의한 이연법인세차(대)의 내역은 다음과 같습니다.</t>
    <phoneticPr fontId="3" type="noConversion"/>
  </si>
  <si>
    <t>기말이연법인세자산</t>
    <phoneticPr fontId="5" type="noConversion"/>
  </si>
  <si>
    <t>기초이연법인세 자산</t>
    <phoneticPr fontId="5" type="noConversion"/>
  </si>
  <si>
    <t>이연법인세 변동액</t>
    <phoneticPr fontId="5" type="noConversion"/>
  </si>
  <si>
    <t>1) 법인세수정분개</t>
    <phoneticPr fontId="3" type="noConversion"/>
  </si>
  <si>
    <t>단기이연법인세자산</t>
    <phoneticPr fontId="3" type="noConversion"/>
  </si>
  <si>
    <t>법인세비용</t>
    <phoneticPr fontId="3" type="noConversion"/>
  </si>
  <si>
    <t>장기이연법인세자산</t>
    <phoneticPr fontId="3" type="noConversion"/>
  </si>
  <si>
    <t>장기이연법인세부채</t>
    <phoneticPr fontId="3" type="noConversion"/>
  </si>
  <si>
    <t>이연법인세부채</t>
    <phoneticPr fontId="3" type="noConversion"/>
  </si>
  <si>
    <t>미수금</t>
    <phoneticPr fontId="3" type="noConversion"/>
  </si>
  <si>
    <t>1) 법인세법에 의한 과세소득간의 세무조정 항목별 내용</t>
    <phoneticPr fontId="3" type="noConversion"/>
  </si>
  <si>
    <t>구 분</t>
  </si>
  <si>
    <t>당 기</t>
  </si>
  <si>
    <t>전 기</t>
  </si>
  <si>
    <t>법인세비용차감전순이익</t>
  </si>
  <si>
    <t>영구적차이 가감</t>
  </si>
  <si>
    <t>가산:</t>
  </si>
  <si>
    <t>접대비한도초과</t>
  </si>
  <si>
    <t>이자수익</t>
  </si>
  <si>
    <t>세금과공과 등</t>
  </si>
  <si>
    <t>차감:</t>
  </si>
  <si>
    <t>잡이익</t>
  </si>
  <si>
    <t>일시적차이 가감</t>
  </si>
  <si>
    <t>가산 :</t>
  </si>
  <si>
    <t>퇴직급여충당부채</t>
  </si>
  <si>
    <t>전기미수수익</t>
  </si>
  <si>
    <t>중소기업투자준비금</t>
  </si>
  <si>
    <t>차감 :</t>
  </si>
  <si>
    <t>당기미수수익</t>
  </si>
  <si>
    <t>과세소득</t>
  </si>
  <si>
    <t>(2) 법인세비용차감전순이익과 과세소득간의 주요 누적일시적 차이의 증감내역 및 이연법인세자산(부채)의 계산내역은 다음과 같습니다.</t>
    <phoneticPr fontId="3" type="noConversion"/>
  </si>
  <si>
    <t>구  분</t>
  </si>
  <si>
    <t>기초금액</t>
  </si>
  <si>
    <t>증 가</t>
  </si>
  <si>
    <t>감 소</t>
  </si>
  <si>
    <t>기말금액</t>
  </si>
  <si>
    <t>퇴직보험</t>
  </si>
  <si>
    <t>기타</t>
  </si>
  <si>
    <t>누적일시적차이</t>
  </si>
  <si>
    <t>세율</t>
  </si>
  <si>
    <t>이연법인세자산 소계</t>
  </si>
  <si>
    <t>자본에 가감한 법인세 효과</t>
  </si>
  <si>
    <t xml:space="preserve">이연법인세자산 </t>
  </si>
  <si>
    <t>(3) 총액기준에 의한 이연법인세자산(부채)의 내역은 다음과 같습니다</t>
    <phoneticPr fontId="3" type="noConversion"/>
  </si>
  <si>
    <t>계</t>
  </si>
  <si>
    <t>기초이연법인세자산(부채)</t>
  </si>
  <si>
    <t>당기이연법인세자산(부채) 증감액</t>
  </si>
  <si>
    <t>기말이연법인세자산(부채)</t>
  </si>
  <si>
    <t>소 계</t>
  </si>
  <si>
    <t>증가</t>
    <phoneticPr fontId="5" type="noConversion"/>
  </si>
  <si>
    <t>감소</t>
    <phoneticPr fontId="7" type="noConversion"/>
  </si>
  <si>
    <t>W/P No.</t>
    <phoneticPr fontId="5" type="noConversion"/>
  </si>
  <si>
    <t>Date</t>
    <phoneticPr fontId="5" type="noConversion"/>
  </si>
  <si>
    <t>Signature</t>
    <phoneticPr fontId="5" type="noConversion"/>
  </si>
  <si>
    <t>증가(감소)</t>
    <phoneticPr fontId="5" type="noConversion"/>
  </si>
  <si>
    <t>1.</t>
    <phoneticPr fontId="5" type="noConversion"/>
  </si>
  <si>
    <t>이연법인세자산(부채)</t>
    <phoneticPr fontId="5" type="noConversion"/>
  </si>
  <si>
    <t>구 분</t>
    <phoneticPr fontId="3" type="noConversion"/>
  </si>
  <si>
    <t>금 액</t>
    <phoneticPr fontId="3" type="noConversion"/>
  </si>
  <si>
    <t>(2)</t>
    <phoneticPr fontId="5" type="noConversion"/>
  </si>
  <si>
    <t>상품매출원가</t>
    <phoneticPr fontId="5" type="noConversion"/>
  </si>
  <si>
    <t>(3)</t>
    <phoneticPr fontId="5" type="noConversion"/>
  </si>
  <si>
    <t>기타매출원가</t>
    <phoneticPr fontId="5" type="noConversion"/>
  </si>
  <si>
    <t>자본금</t>
    <phoneticPr fontId="5" type="noConversion"/>
  </si>
  <si>
    <t>미처분이익잉여금</t>
    <phoneticPr fontId="5" type="noConversion"/>
  </si>
  <si>
    <t>주석사항검토</t>
    <phoneticPr fontId="5" type="noConversion"/>
  </si>
  <si>
    <t>Note)</t>
    <phoneticPr fontId="5" type="noConversion"/>
  </si>
  <si>
    <r>
      <t xml:space="preserve">사용이 실제원가에 기초한 다른 원가결정방법을 적용하는 것보다 합리적이라는 정당한 이유와 매출가격환원법의 원가율 </t>
    </r>
    <r>
      <rPr>
        <sz val="10"/>
        <rFont val="바탕"/>
        <family val="1"/>
        <charset val="129"/>
      </rPr>
      <t/>
    </r>
    <phoneticPr fontId="7" type="noConversion"/>
  </si>
  <si>
    <t>추정이 합리적이라는 근거</t>
    <phoneticPr fontId="7" type="noConversion"/>
  </si>
  <si>
    <t>⑵ 대손충당금환입은 해당자산조서</t>
    <phoneticPr fontId="7" type="noConversion"/>
  </si>
  <si>
    <t>⑶ 임대료는 임대보증금 조서</t>
  </si>
  <si>
    <t>⑷ 단기매매증권평가(처분)이익, 매도가능증권처분이익, 지분법평가(지분법적용주식처분)이익</t>
  </si>
  <si>
    <t>⑸ 자산감액손실환입은 해당자산조서</t>
  </si>
  <si>
    <t>⑹ 외환차익, 외화환산이익은 해당자산조서</t>
  </si>
  <si>
    <t>⑺ 유형자산처분이익은 유형자산조서</t>
  </si>
  <si>
    <t>⑻ 사채상환이익은 사채조서</t>
  </si>
  <si>
    <t>⑼ 법인세환급액은 법인세관련조서</t>
  </si>
  <si>
    <t>⑽ 전기오류수정이익은 해당 자산 또는 부채조서</t>
  </si>
  <si>
    <t>⑵ 매출채권처분손실은 매출채권조서</t>
  </si>
  <si>
    <t>⑶ 재고자산평가손실(원가성이 없는 재고자산감모손실을 포함한다)은 재고자산조서</t>
  </si>
  <si>
    <t>⑷ 단기매매증권평가(처분)손실, 매도가능증권처분손실, 지분법평가</t>
  </si>
  <si>
    <t>⑸ 자산감액손실은 해당자산조서</t>
  </si>
  <si>
    <t>⑹ 외환차손, 외화환산손실은 관련 외화자산부채계정조서</t>
  </si>
  <si>
    <t>⑺ 유형자산처분손실은 관련유형자산 조서</t>
  </si>
  <si>
    <t>⑻ 사채상환손실은 사채조서</t>
  </si>
  <si>
    <t>⑼ 법인세추납액은 법인세관련 조서</t>
  </si>
  <si>
    <t>⑽ 전기오류수정손실은 해당 자산 또는 부채조서</t>
  </si>
  <si>
    <t xml:space="preserve">    ,배당금수익은 유가증권조서</t>
    <phoneticPr fontId="7" type="noConversion"/>
  </si>
  <si>
    <t xml:space="preserve">   (지분법적용주식처분)손실은 유가증권조서</t>
    <phoneticPr fontId="7" type="noConversion"/>
  </si>
  <si>
    <t>외화자산과 부채의 환산기준 및 환산손익의 내용(주석)</t>
    <phoneticPr fontId="7" type="noConversion"/>
  </si>
  <si>
    <t>자산감액손실 관련 사항(주석)</t>
    <phoneticPr fontId="7" type="noConversion"/>
  </si>
  <si>
    <t>전기오류수정손익의 내용(주석)</t>
    <phoneticPr fontId="7" type="noConversion"/>
  </si>
  <si>
    <t xml:space="preserve">특수관계자와의 거래내용(주석)   </t>
    <phoneticPr fontId="7" type="noConversion"/>
  </si>
  <si>
    <t>영업외수익</t>
    <phoneticPr fontId="7" type="noConversion"/>
  </si>
  <si>
    <t>⑴ 이자수익은 해당 이자부자산조서</t>
    <phoneticPr fontId="7" type="noConversion"/>
  </si>
  <si>
    <r>
      <t>⑴ 이자비용은 해당이자부부채조서</t>
    </r>
    <r>
      <rPr>
        <sz val="11"/>
        <rFont val="Book Antiqua"/>
        <family val="1"/>
      </rPr>
      <t/>
    </r>
    <phoneticPr fontId="7" type="noConversion"/>
  </si>
  <si>
    <t>(금융비용을 재고자산이나 투자자산 또는 유형자산의 취득원가로 계상한 경우에는 관련자산 조서)</t>
    <phoneticPr fontId="7" type="noConversion"/>
  </si>
  <si>
    <t>Dr)</t>
    <phoneticPr fontId="7" type="noConversion"/>
  </si>
  <si>
    <t>Cr)</t>
    <phoneticPr fontId="7" type="noConversion"/>
  </si>
  <si>
    <t>1.</t>
    <phoneticPr fontId="7" type="noConversion"/>
  </si>
  <si>
    <t>2.</t>
    <phoneticPr fontId="7" type="noConversion"/>
  </si>
  <si>
    <t>3.</t>
    <phoneticPr fontId="7" type="noConversion"/>
  </si>
  <si>
    <t>4.</t>
    <phoneticPr fontId="7" type="noConversion"/>
  </si>
  <si>
    <t>5.</t>
    <phoneticPr fontId="7" type="noConversion"/>
  </si>
  <si>
    <t>1.</t>
    <phoneticPr fontId="7" type="noConversion"/>
  </si>
  <si>
    <t>PA( R)JE</t>
    <phoneticPr fontId="7" type="noConversion"/>
  </si>
  <si>
    <t>현금/ 예금의 사용제한 (기준서 제21호99)</t>
    <phoneticPr fontId="7" type="noConversion"/>
  </si>
  <si>
    <t>대차대조표 일 전후의 주요 현금 예금 대체 거래 여부</t>
    <phoneticPr fontId="7" type="noConversion"/>
  </si>
  <si>
    <t>이자수익에 대한 Predictive test</t>
    <phoneticPr fontId="7" type="noConversion"/>
  </si>
  <si>
    <t>장단기 구분의 적정성</t>
    <phoneticPr fontId="7" type="noConversion"/>
  </si>
  <si>
    <t>금융기관 등에 대한 조회확인</t>
    <phoneticPr fontId="7" type="noConversion"/>
  </si>
  <si>
    <t>양도성예금증서(CD)의 실사</t>
    <phoneticPr fontId="7" type="noConversion"/>
  </si>
  <si>
    <t>회계정책</t>
    <phoneticPr fontId="5" type="noConversion"/>
  </si>
  <si>
    <t>유가증권(기준서 제8호60)</t>
    <phoneticPr fontId="5" type="noConversion"/>
  </si>
  <si>
    <t>지분법적용투자주식(기준서 제8호63)</t>
    <phoneticPr fontId="5" type="noConversion"/>
  </si>
  <si>
    <t>⑵ 유가증권 분류변경 관련 주석</t>
    <phoneticPr fontId="3" type="noConversion"/>
  </si>
  <si>
    <t>⑶ 공정가액 관련 주석</t>
    <phoneticPr fontId="3" type="noConversion"/>
  </si>
  <si>
    <t>⑷ 지분법 관련 주석</t>
    <phoneticPr fontId="3" type="noConversion"/>
  </si>
  <si>
    <t>⑸ 감액손실 관련 주석</t>
    <phoneticPr fontId="3" type="noConversion"/>
  </si>
  <si>
    <t>⑹ 유가증권의 원가 결정 방법(주석)</t>
    <phoneticPr fontId="3" type="noConversion"/>
  </si>
  <si>
    <t>⑺ 유가증권을 통합표시한 경우 구분내용(주석)</t>
    <phoneticPr fontId="3" type="noConversion"/>
  </si>
  <si>
    <t>⑻ 유가증권 관련 총 이자수익 금액(주석)</t>
    <phoneticPr fontId="3" type="noConversion"/>
  </si>
  <si>
    <t>⑼ 유가증권 양도와 관련한 재매수계약의 내용(주석)</t>
    <phoneticPr fontId="3" type="noConversion"/>
  </si>
  <si>
    <t>⑽ 담보로 제공한 유가증권의 내용(주석)</t>
    <phoneticPr fontId="3" type="noConversion"/>
  </si>
  <si>
    <t>⑾ 매도가능증권의 자전거래 내역(주석)</t>
    <phoneticPr fontId="3" type="noConversion"/>
  </si>
  <si>
    <t>⑿ 투자일임계약자산의 내역과 공정가액(주석)</t>
    <phoneticPr fontId="3" type="noConversion"/>
  </si>
  <si>
    <t>⒀ 특수관계자와의 거래내용(주석)</t>
    <phoneticPr fontId="3" type="noConversion"/>
  </si>
  <si>
    <t>유가증권의 실사</t>
    <phoneticPr fontId="5" type="noConversion"/>
  </si>
  <si>
    <t>유가증권의 감액손실 및 회복</t>
    <phoneticPr fontId="5" type="noConversion"/>
  </si>
  <si>
    <t>배당금 및 수입이자</t>
    <phoneticPr fontId="5" type="noConversion"/>
  </si>
  <si>
    <t>특수관계자와의 거래</t>
    <phoneticPr fontId="5" type="noConversion"/>
  </si>
  <si>
    <t>투자일임계약자산 및 신탁업법에 의한 신탁상품의 회계처리의 적정성</t>
    <phoneticPr fontId="5" type="noConversion"/>
  </si>
  <si>
    <t xml:space="preserve">회계정책 : </t>
    <phoneticPr fontId="7" type="noConversion"/>
  </si>
  <si>
    <t>- 외화자산 및 부채의 환산기준(해외사업장의 자산, 부채포함) (회계기준 제68조③)</t>
    <phoneticPr fontId="5" type="noConversion"/>
  </si>
  <si>
    <t>- 대손충당금의 설정기준</t>
    <phoneticPr fontId="7" type="noConversion"/>
  </si>
  <si>
    <t>특수관계자와의 거래</t>
    <phoneticPr fontId="7" type="noConversion"/>
  </si>
  <si>
    <t>매출채권 등의 담보제공에 관한 내용 (회계기준 제14조)</t>
    <phoneticPr fontId="7" type="noConversion"/>
  </si>
  <si>
    <t>매출채권 등의 양도 또는 할인에 관한 내용 (회계기준 제14조)</t>
    <phoneticPr fontId="7" type="noConversion"/>
  </si>
  <si>
    <t>장기성 매출채권의 현재가치 평가에 관한 내용(주석)</t>
    <phoneticPr fontId="7" type="noConversion"/>
  </si>
  <si>
    <t>채권조정이 있은 경우 채권조정에 관한 내용(주석)</t>
    <phoneticPr fontId="7" type="noConversion"/>
  </si>
  <si>
    <t>외화채권의 환산기준과 환산손익의 내용(주석)</t>
    <phoneticPr fontId="7" type="noConversion"/>
  </si>
  <si>
    <t>특수관계자와의 거래내용(주석)</t>
    <phoneticPr fontId="7" type="noConversion"/>
  </si>
  <si>
    <t>Aging Test</t>
    <phoneticPr fontId="7" type="noConversion"/>
  </si>
  <si>
    <t>회수지연 채권의 분류/대손설정방법</t>
    <phoneticPr fontId="7" type="noConversion"/>
  </si>
  <si>
    <t>B/S일 이후의 채권 변동사항</t>
    <phoneticPr fontId="7" type="noConversion"/>
  </si>
  <si>
    <t>장기성매출채권</t>
    <phoneticPr fontId="7" type="noConversion"/>
  </si>
  <si>
    <t>받을어음의 실사</t>
    <phoneticPr fontId="7" type="noConversion"/>
  </si>
  <si>
    <t>할인, 양도 및 담보제공 여부에 대한 검토</t>
    <phoneticPr fontId="7" type="noConversion"/>
  </si>
  <si>
    <t>외화표시 매출채권의 환산내용을 검토</t>
    <phoneticPr fontId="7" type="noConversion"/>
  </si>
  <si>
    <t>관세환급(수입부과금환급금, 특소세등) 미수금의 검토</t>
    <phoneticPr fontId="7" type="noConversion"/>
  </si>
  <si>
    <t>선급비용 및 미수수익에 대한 검토TEST</t>
    <phoneticPr fontId="7" type="noConversion"/>
  </si>
  <si>
    <t>장단기 구분의 적정성 test</t>
    <phoneticPr fontId="7" type="noConversion"/>
  </si>
  <si>
    <t>외화자산 및 부채의 환산기준(해외사업장의 자산, 부채포함) (회계기준 제68조③)</t>
    <phoneticPr fontId="5" type="noConversion"/>
  </si>
  <si>
    <t>특수관계자와의 거래내용(주석)</t>
    <phoneticPr fontId="5" type="noConversion"/>
  </si>
  <si>
    <t>외화채권의 환산기준과 환산손익의 내용(주석)</t>
    <phoneticPr fontId="5" type="noConversion"/>
  </si>
  <si>
    <t>담보제공자산(주석)</t>
    <phoneticPr fontId="5" type="noConversion"/>
  </si>
  <si>
    <t>파생상품과 관련된 주석사항 (해석 53-70 참조)</t>
    <phoneticPr fontId="5" type="noConversion"/>
  </si>
  <si>
    <t>재고자산 평가와 재고조사방법(기준서 제10호 31)</t>
    <phoneticPr fontId="7" type="noConversion"/>
  </si>
  <si>
    <t>- 재고자산의 원가결정방법</t>
    <phoneticPr fontId="7" type="noConversion"/>
  </si>
  <si>
    <t>- 재고자산을 총액으로 보고한 경우 그 내용</t>
    <phoneticPr fontId="7" type="noConversion"/>
  </si>
  <si>
    <t>- 재고자산의 저가법 적용기준</t>
    <phoneticPr fontId="7" type="noConversion"/>
  </si>
  <si>
    <t>재고자산의 저가법 평가 내용</t>
    <phoneticPr fontId="7" type="noConversion"/>
  </si>
  <si>
    <t>후입선출법의 내용</t>
    <phoneticPr fontId="7" type="noConversion"/>
  </si>
  <si>
    <t xml:space="preserve">⑴ 후입선출법을 사용하여 재고자산의 원가를 결정한 경우에는 대차대조표가액과, 선입선출법 </t>
    <phoneticPr fontId="7" type="noConversion"/>
  </si>
  <si>
    <t>⑵ 후입선출법을 사용하여 재고자산의 원가를 결정할 때 기초재고의 전부 또는 일부가 판매된 경우</t>
    <phoneticPr fontId="7" type="noConversion"/>
  </si>
  <si>
    <t xml:space="preserve">유통업 이외의 업종에 속한 기업이 매출가격환원법을 사용하는 예외적인 경우에는 매출가격환원법의 </t>
    <phoneticPr fontId="7" type="noConversion"/>
  </si>
  <si>
    <t>재고실사여부</t>
    <phoneticPr fontId="7" type="noConversion"/>
  </si>
  <si>
    <t>실지재고조사법</t>
    <phoneticPr fontId="7" type="noConversion"/>
  </si>
  <si>
    <t>투자부동산(비업무용 포함) 내용 및 공시지가(주석)</t>
    <phoneticPr fontId="5" type="noConversion"/>
  </si>
  <si>
    <t>현재가치로 평가한 자산이 있는 경우 현재가치평가에 관한내용(주석)</t>
    <phoneticPr fontId="5" type="noConversion"/>
  </si>
  <si>
    <t>외화자산의 환산기준 및 환산손익의 내용(주석)</t>
    <phoneticPr fontId="5" type="noConversion"/>
  </si>
  <si>
    <t>담보제공된 자산의 내용(주석)</t>
    <phoneticPr fontId="5" type="noConversion"/>
  </si>
  <si>
    <t>권리증서(등기부등본, 등록원부 등)를 획득하여 투자부동산의 실재성과 소유권 및 담보제공 등의 소유권제한여부를 확인</t>
    <phoneticPr fontId="5" type="noConversion"/>
  </si>
  <si>
    <t>투자자산과 관련하여 발생한 이자, 임차료, 처분손익등 관련손익계정이 적정하게 계상되었는가 확인</t>
    <phoneticPr fontId="5" type="noConversion"/>
  </si>
  <si>
    <t>장기성채권, 장기대여금, 장기금융상품 등의 평균이자율과 평균적수를 곱하여 이자수익의 합리성에 대한 Overall test</t>
    <phoneticPr fontId="5" type="noConversion"/>
  </si>
  <si>
    <t>회수불능자산의 대손처리 여부를 검토</t>
    <phoneticPr fontId="5" type="noConversion"/>
  </si>
  <si>
    <t>유형자산</t>
    <phoneticPr fontId="5" type="noConversion"/>
  </si>
  <si>
    <t>- 유형자산의 취득원가</t>
    <phoneticPr fontId="5" type="noConversion"/>
  </si>
  <si>
    <t>- 유형자산의 감가상각방법, 내용연수 또는 상각률</t>
    <phoneticPr fontId="5" type="noConversion"/>
  </si>
  <si>
    <t>- 감가상각누계액, 감액손실누계액 및 국고보조금 등의 표시방법</t>
    <phoneticPr fontId="5" type="noConversion"/>
  </si>
  <si>
    <t>- 자본적지출과 수익적지출의 구분</t>
    <phoneticPr fontId="5" type="noConversion"/>
  </si>
  <si>
    <t>- 유형자산에 관련된 추정 복구비용의 회계처리방법</t>
    <phoneticPr fontId="5" type="noConversion"/>
  </si>
  <si>
    <t>장부가액의 당기 변동내용(주석)</t>
    <phoneticPr fontId="5" type="noConversion"/>
  </si>
  <si>
    <t>건설중인 자산에 대한 당기 지출액(주석)</t>
    <phoneticPr fontId="5" type="noConversion"/>
  </si>
  <si>
    <t>금융비용자본화에 의해 자본화된 금액 및 기간비용으로 회계처리할 경우와의 비교내용(주석)</t>
    <phoneticPr fontId="5" type="noConversion"/>
  </si>
  <si>
    <t>소유권이 제한되거나 담보로 제공된 유형자산의 내용과 금액(주석)</t>
    <phoneticPr fontId="5" type="noConversion"/>
  </si>
  <si>
    <t>보험가입내용(주석)</t>
    <phoneticPr fontId="5" type="noConversion"/>
  </si>
  <si>
    <t>보유토지의 공시지가(주석)</t>
    <phoneticPr fontId="5" type="noConversion"/>
  </si>
  <si>
    <t>- 무형자산 상각에 관련된 회계정책：상각방법, 내용연수 또는 상각률 및 잔존가액</t>
    <phoneticPr fontId="5" type="noConversion"/>
  </si>
  <si>
    <t>- 내용연수가 20년을 초과하는 경우 그 근거 및 내용연수 결정에 고려한 중요 요소</t>
    <phoneticPr fontId="5" type="noConversion"/>
  </si>
  <si>
    <t>- 무형자산의 표시방법</t>
    <phoneticPr fontId="5" type="noConversion"/>
  </si>
  <si>
    <t>당기에 비용으로 인식한 연구비와 경상개발비의 총액(주석)</t>
    <phoneticPr fontId="5" type="noConversion"/>
  </si>
  <si>
    <t>감가상각방법 및 상각내용연수</t>
    <phoneticPr fontId="7" type="noConversion"/>
  </si>
  <si>
    <r>
      <t xml:space="preserve">(즉, 무형자산의 인식기준충족시점 이전의 지출)이 그 후의 기간에 발생한 무형자산의 취득원가의 일부로 </t>
    </r>
    <r>
      <rPr>
        <sz val="11"/>
        <rFont val="바탕"/>
        <family val="1"/>
        <charset val="129"/>
      </rPr>
      <t/>
    </r>
    <phoneticPr fontId="5" type="noConversion"/>
  </si>
  <si>
    <r>
      <t>계상되었는지를 검토</t>
    </r>
    <r>
      <rPr>
        <sz val="11"/>
        <rFont val="바탕"/>
        <family val="1"/>
        <charset val="129"/>
      </rPr>
      <t/>
    </r>
    <phoneticPr fontId="5" type="noConversion"/>
  </si>
  <si>
    <t>특허권 상각에 대한 적정성</t>
    <phoneticPr fontId="5" type="noConversion"/>
  </si>
  <si>
    <r>
      <t>등록증, 계약서 및 조회서등을 검토하여</t>
    </r>
    <r>
      <rPr>
        <sz val="10"/>
        <color indexed="8"/>
        <rFont val="맑은 고딕"/>
        <family val="3"/>
        <charset val="129"/>
        <scheme val="major"/>
      </rPr>
      <t xml:space="preserve"> 소유권 및 소유권제한사항을 확인</t>
    </r>
    <phoneticPr fontId="7" type="noConversion"/>
  </si>
  <si>
    <t>장기매입채무의 현재가치평가에 관한 내용(주석)</t>
    <phoneticPr fontId="5" type="noConversion"/>
  </si>
  <si>
    <t>매입채무 인식 방침: 입고시(세금계산서발행시)</t>
    <phoneticPr fontId="7" type="noConversion"/>
  </si>
  <si>
    <t>미지급금으로의 재분류</t>
    <phoneticPr fontId="7" type="noConversion"/>
  </si>
  <si>
    <t>부외부채의 확인: 질문 결과 없음</t>
    <phoneticPr fontId="7" type="noConversion"/>
  </si>
  <si>
    <t>Usance 거래 및 기업구매카드, 기업구매자금대출에 대한 장부상 부채계상의 확인</t>
    <phoneticPr fontId="5" type="noConversion"/>
  </si>
  <si>
    <t>1년 이후 지급될 금액의 재분류(예：장기성 매입채무)</t>
    <phoneticPr fontId="5" type="noConversion"/>
  </si>
  <si>
    <t>결산일후 행해진 주요수정사항을 검토</t>
    <phoneticPr fontId="5" type="noConversion"/>
  </si>
  <si>
    <r>
      <t>기업구매카드 및 기업구매자금대출제도에 의한 매입시 계정분류의 적정성을 확인한다</t>
    </r>
    <r>
      <rPr>
        <sz val="11"/>
        <rFont val="Book Antiqua"/>
        <family val="1"/>
      </rPr>
      <t/>
    </r>
    <phoneticPr fontId="5" type="noConversion"/>
  </si>
  <si>
    <t>(기업구매지금대출시 판매기업이 환어음을 결제하기 전까지는 매입채무로</t>
    <phoneticPr fontId="5" type="noConversion"/>
  </si>
  <si>
    <t>일반적 상거래(재고자산구입)에서 발생하지 아니한 채무의 재분류(예：미지급금)</t>
    <phoneticPr fontId="5" type="noConversion"/>
  </si>
  <si>
    <r>
      <t xml:space="preserve">회계정책 :  </t>
    </r>
    <r>
      <rPr>
        <sz val="11"/>
        <rFont val="바탕"/>
        <family val="1"/>
        <charset val="129"/>
      </rPr>
      <t/>
    </r>
    <phoneticPr fontId="5" type="noConversion"/>
  </si>
  <si>
    <t>- 금융비용자본화에 대한 기업의 회계정책 (기준서 제7호23)</t>
    <phoneticPr fontId="5" type="noConversion"/>
  </si>
  <si>
    <t>- 현재가치할인차금의 회계처리방법 (회계기준 제66조④)</t>
    <phoneticPr fontId="5" type="noConversion"/>
  </si>
  <si>
    <t>- 위험회피목적 파생상품거래의 경우 위험회피활동을 반영하기 위한 회계처리방법 (회계기준 제70조③)</t>
    <phoneticPr fontId="5" type="noConversion"/>
  </si>
  <si>
    <t>사채 및 장기차입금의 내용(주석)</t>
    <phoneticPr fontId="7" type="noConversion"/>
  </si>
  <si>
    <t>자기사채의 취득경위(주석)</t>
    <phoneticPr fontId="7" type="noConversion"/>
  </si>
  <si>
    <t>전환증권의 발행과 관련된 사항</t>
    <phoneticPr fontId="7" type="noConversion"/>
  </si>
  <si>
    <t>중대한 차입약정서 위반사항(주석)</t>
    <phoneticPr fontId="7" type="noConversion"/>
  </si>
  <si>
    <t>채무조정으로 인해 변경된 원금, 이자율 또는 기간 및 회계처리방법등(주석)</t>
    <phoneticPr fontId="7" type="noConversion"/>
  </si>
  <si>
    <t>외화표시채무금액, 환산기준 및 환산손익의 내용(주석)</t>
    <phoneticPr fontId="7" type="noConversion"/>
  </si>
  <si>
    <t>대차대조표일 이후의 사채발행, 거액의 차입금 및 차관의 내역 및 주요조건(주석)</t>
    <phoneticPr fontId="7" type="noConversion"/>
  </si>
  <si>
    <t>대차대조표일과 재무제표가 사실상 확정된 날 사이에 발생한 다음과 같은 사건을 주석으로 기재</t>
    <phoneticPr fontId="7" type="noConversion"/>
  </si>
  <si>
    <t>① 장기채무로의 차환(또는 만기연장)</t>
    <phoneticPr fontId="7" type="noConversion"/>
  </si>
  <si>
    <t>② 차입약정 위반의 해소</t>
    <phoneticPr fontId="7" type="noConversion"/>
  </si>
  <si>
    <t>③ 차입약정 위반을 해소할 수 있도록 대차대조표일로부터 1년을 초과하는 유예기간을 획득</t>
    <phoneticPr fontId="7" type="noConversion"/>
  </si>
  <si>
    <t>외화장기차입금에 대한 외화환산</t>
    <phoneticPr fontId="7" type="noConversion"/>
  </si>
  <si>
    <t>이자비용 Predictive test</t>
    <phoneticPr fontId="7" type="noConversion"/>
  </si>
  <si>
    <t>차입금장단기구분의 적정성</t>
    <phoneticPr fontId="7" type="noConversion"/>
  </si>
  <si>
    <t>차입금에 대한 담보제공 및 지급보증내역</t>
    <phoneticPr fontId="7" type="noConversion"/>
  </si>
  <si>
    <t>원금상환 및 이자율 최종상환일 담보내역등</t>
    <phoneticPr fontId="7" type="noConversion"/>
  </si>
  <si>
    <t>원금에 대하여(외화차입의 경우는 원화와 외화 부기)</t>
    <phoneticPr fontId="7" type="noConversion"/>
  </si>
  <si>
    <t xml:space="preserve">장기성인 경우의 기말잔액에 대하여는 향후 5년간 상환계획(1년 구분도 가능) </t>
    <phoneticPr fontId="7" type="noConversion"/>
  </si>
  <si>
    <r>
      <t xml:space="preserve">차입계약서 상의 </t>
    </r>
    <r>
      <rPr>
        <sz val="10"/>
        <color indexed="8"/>
        <rFont val="맑은 고딕"/>
        <family val="3"/>
        <charset val="129"/>
        <scheme val="major"/>
      </rPr>
      <t>주요 계약사항등 준수 여부</t>
    </r>
    <phoneticPr fontId="7" type="noConversion"/>
  </si>
  <si>
    <t>장기차입약정을 위반하여 채권자가 즉시 상환을 요구할 수 있는 채무라도</t>
    <phoneticPr fontId="7" type="noConversion"/>
  </si>
  <si>
    <t>, 다음의 조건을 모두 충족하는 경우에는 비유동부채로 분류(기준서 제21 문단 43 참조)</t>
    <phoneticPr fontId="7" type="noConversion"/>
  </si>
  <si>
    <t xml:space="preserve">① 대차대조표일 이전에 차입약정의 위반을 해소할 수 있도록 대차대조표일로부터 1년을 </t>
    <phoneticPr fontId="7" type="noConversion"/>
  </si>
  <si>
    <t xml:space="preserve">     초과하는 유예기간을 제공하기로 합의하였다.</t>
    <phoneticPr fontId="7" type="noConversion"/>
  </si>
  <si>
    <t>② ①에서의 유예기간 내에 기업이 차입약정의 위반을 해소할 수 있다.</t>
    <phoneticPr fontId="7" type="noConversion"/>
  </si>
  <si>
    <t>③ ①에서의 유예기간동안 채권자가 즉시 상환을 요구할 수 없다.</t>
    <phoneticPr fontId="7" type="noConversion"/>
  </si>
  <si>
    <r>
      <t>연불수입</t>
    </r>
    <r>
      <rPr>
        <sz val="10"/>
        <color indexed="8"/>
        <rFont val="맑은 고딕"/>
        <family val="3"/>
        <charset val="129"/>
        <scheme val="major"/>
      </rPr>
      <t>조건으로써 Banker's Usance 잔액이 조회확인될 경우 단기차입금 계상의 적정성(이자는 금융비용임)</t>
    </r>
    <phoneticPr fontId="7" type="noConversion"/>
  </si>
  <si>
    <t>자기 또는 타인을 위하여 제공하고 있거나 타인으로부터 제공받고 있는 담보 및 보증의 내용(주석)</t>
    <phoneticPr fontId="7" type="noConversion"/>
  </si>
  <si>
    <t>미지급비용의 내용 검토(지급조건, 채무이행조건, 담보제공, 산정방법)</t>
    <phoneticPr fontId="5" type="noConversion"/>
  </si>
  <si>
    <t>선물등 파생상품거래유무</t>
    <phoneticPr fontId="5" type="noConversion"/>
  </si>
  <si>
    <t xml:space="preserve">선물 등의 거래유무를 확인하고 그 계약이나 매매에 의하여 발생된 자산, 부채의 처리내용과 </t>
    <phoneticPr fontId="5" type="noConversion"/>
  </si>
  <si>
    <t>동 거래로 인한 손익의 인식이나 처리가 적정한지를 DER ‘파생상품’과 연계하여 검토한다. (해석53-70 참조)</t>
    <phoneticPr fontId="5" type="noConversion"/>
  </si>
  <si>
    <t xml:space="preserve">회계정책 : </t>
    <phoneticPr fontId="5" type="noConversion"/>
  </si>
  <si>
    <t>- 퇴직급여충당부채의 설정 기준과 임원퇴직금의 처리방법등 (회계기준 제27조②)</t>
    <phoneticPr fontId="5" type="noConversion"/>
  </si>
  <si>
    <t>임원 및 직원의 퇴직금소요액과 충당부채의 내용(주석)</t>
    <phoneticPr fontId="5" type="noConversion"/>
  </si>
  <si>
    <t>퇴직보험(종업원퇴직보험 및 퇴직보험)가입 상황(주석)</t>
    <phoneticPr fontId="5" type="noConversion"/>
  </si>
  <si>
    <t>국민연금전환금 불입내용(주석)</t>
    <phoneticPr fontId="5" type="noConversion"/>
  </si>
  <si>
    <t>퇴직연금 가입 상황(주석)</t>
    <phoneticPr fontId="5" type="noConversion"/>
  </si>
  <si>
    <t>급여의 분석적 검토</t>
    <phoneticPr fontId="5" type="noConversion"/>
  </si>
  <si>
    <t xml:space="preserve">기중퇴직금 지급액의 확인 </t>
    <phoneticPr fontId="5" type="noConversion"/>
  </si>
  <si>
    <t>직원 및 임원 퇴직금지급규정 징구</t>
    <phoneticPr fontId="5" type="noConversion"/>
  </si>
  <si>
    <t xml:space="preserve">퇴직급여추계액의 정확성 검증  </t>
    <phoneticPr fontId="5" type="noConversion"/>
  </si>
  <si>
    <t>기업회계기준 상의 당기 설정할 금액과 회사계상액을 비교검토</t>
    <phoneticPr fontId="5" type="noConversion"/>
  </si>
  <si>
    <t>당기 설정액이 적절하게 제조원가 및 판매관리비로 구분 회계처리</t>
    <phoneticPr fontId="5" type="noConversion"/>
  </si>
  <si>
    <t>현재가치평가에 관한 내용(주석)</t>
    <phoneticPr fontId="5" type="noConversion"/>
  </si>
  <si>
    <t>외화부채의 외화금액, 환산기준 및 환산손익의 내용(주석)</t>
    <phoneticPr fontId="5" type="noConversion"/>
  </si>
  <si>
    <r>
      <t>중요한 증감내용</t>
    </r>
    <r>
      <rPr>
        <sz val="10"/>
        <color indexed="8"/>
        <rFont val="맑은 고딕"/>
        <family val="3"/>
        <charset val="129"/>
        <scheme val="major"/>
      </rPr>
      <t>에 대해 증빙대조</t>
    </r>
    <phoneticPr fontId="5" type="noConversion"/>
  </si>
  <si>
    <r>
      <t xml:space="preserve">비유동부채와 관련하여 발생한  </t>
    </r>
    <r>
      <rPr>
        <sz val="10"/>
        <color indexed="8"/>
        <rFont val="맑은 고딕"/>
        <family val="3"/>
        <charset val="129"/>
        <scheme val="major"/>
      </rPr>
      <t>임대수익등 관련손익계정이 적정하게 계상</t>
    </r>
    <phoneticPr fontId="5" type="noConversion"/>
  </si>
  <si>
    <t>현재가치에 의한 평가의 적정성</t>
    <phoneticPr fontId="5" type="noConversion"/>
  </si>
  <si>
    <t>채무조정의 적정성</t>
    <phoneticPr fontId="5" type="noConversion"/>
  </si>
  <si>
    <t>외화표시부채의 환산내용</t>
    <phoneticPr fontId="5" type="noConversion"/>
  </si>
  <si>
    <t>제품보증충당부채의 감사절차(예시)</t>
    <phoneticPr fontId="5" type="noConversion"/>
  </si>
  <si>
    <t>⑴ 회사의 제품보증정책에 대해 파악하고, 판매계약서․약정서 등을 검토하여 이를 확인</t>
    <phoneticPr fontId="5" type="noConversion"/>
  </si>
  <si>
    <t>⑵ 제품보증충당부채와 관련비용계정의 변동을 검토하고, 동종업계 및 산업평균비율과 비교</t>
    <phoneticPr fontId="5" type="noConversion"/>
  </si>
  <si>
    <t>⑶ 설정비율의 타당성을 검토하고, 충당부채의 적정성을 확인</t>
    <phoneticPr fontId="5" type="noConversion"/>
  </si>
  <si>
    <t>⑷ 당기중 신규 또는 비정상적인 제품보증과 관련된 의무가 발생했는지를 검토</t>
    <phoneticPr fontId="5" type="noConversion"/>
  </si>
  <si>
    <t>⑸ 잠재적인 보증문제가 존재하는지 확인하기 위해 계약서, 내부회신문서 또는 생산보고서 등을 검토</t>
    <phoneticPr fontId="5" type="noConversion"/>
  </si>
  <si>
    <t>⑹ 대차대조표일 이후에 거액이나 신규 또는 비정상적인 보증문제가 발생하였는지 검토</t>
    <phoneticPr fontId="5" type="noConversion"/>
  </si>
  <si>
    <t>⑺ 충당부채 설정시 제품보증과 관련하여 추가적으로 발생할 수 있는 벌과금 또는 기타비용이 존재하는지 검토</t>
    <phoneticPr fontId="5" type="noConversion"/>
  </si>
  <si>
    <t>수권주식수, 1주의 금액, 주식종류별, 발행주식수(주석)</t>
    <phoneticPr fontId="5" type="noConversion"/>
  </si>
  <si>
    <t>증자, 감자, 주식배당 또는 기타 사유로 자본금이 변동한 경우 그 내용(주석)</t>
    <phoneticPr fontId="5" type="noConversion"/>
  </si>
  <si>
    <t>자기주식의 취득경위 및 향후처리계획(주석)</t>
    <phoneticPr fontId="5" type="noConversion"/>
  </si>
  <si>
    <t>이익잉여금 중 법정적립금과 임의적립금의 세부내용 및 법령 등에 따라 이익배당이 제한되어 있는 이익잉여금의 내용(주석)</t>
    <phoneticPr fontId="5" type="noConversion"/>
  </si>
  <si>
    <r>
      <t>당해 회계연도 개시일전 2년내에 결손보전을 한 경우에는 결손보전에 충당된 자본잉여금이나 이익잉여금의 명칭과 금액</t>
    </r>
    <r>
      <rPr>
        <sz val="11"/>
        <rFont val="Book Antiqua"/>
        <family val="1"/>
      </rPr>
      <t/>
    </r>
    <phoneticPr fontId="5" type="noConversion"/>
  </si>
  <si>
    <t>신주청약증거금에 대한 신주발행주식수, 주금납입일, 자본잉여금으로 적립된 금액(주석)</t>
    <phoneticPr fontId="5" type="noConversion"/>
  </si>
  <si>
    <t>주식기준보상 약정을 부여하고 있는 경우, 이로 인하여 발행할   주식의 총수, 부여방법, 행사가격, 행사기간등(주석)</t>
    <phoneticPr fontId="5" type="noConversion"/>
  </si>
  <si>
    <t>발행주식중 상호주식등 법령에 의하여 의결권이 제한되어 있는 경우 그 내용(주석)</t>
    <phoneticPr fontId="5" type="noConversion"/>
  </si>
  <si>
    <t>해외사업환산손익의 내용(주석)</t>
    <phoneticPr fontId="5" type="noConversion"/>
  </si>
  <si>
    <t>배당수익률, 배당성향 및 배당액의 산정내역(주석)</t>
    <phoneticPr fontId="5" type="noConversion"/>
  </si>
  <si>
    <t>주당손익의 산출근거(주석)(희석증권의 발행이 있는 경우 기준서 제23호 문단 21～56 참조)</t>
    <phoneticPr fontId="5" type="noConversion"/>
  </si>
  <si>
    <t>전환증권의 발행 및 전환 등에 대한 회계처리의 적정성을 검토</t>
    <phoneticPr fontId="5" type="noConversion"/>
  </si>
  <si>
    <t>자기주식의 취득</t>
    <phoneticPr fontId="5" type="noConversion"/>
  </si>
  <si>
    <t>기타포괄손익누계액: 매도가능증권평가손익, 해외사업환산손익, 현금흐름위험회피 파생상품평가손익 등</t>
    <phoneticPr fontId="5" type="noConversion"/>
  </si>
  <si>
    <t>주식기준보상(Share-based Payment)</t>
    <phoneticPr fontId="5" type="noConversion"/>
  </si>
  <si>
    <t xml:space="preserve">및 결손보전을 승인한 주주총회일(주석) </t>
    <phoneticPr fontId="5" type="noConversion"/>
  </si>
  <si>
    <t>(기준서 제22호 참조)</t>
    <phoneticPr fontId="5" type="noConversion"/>
  </si>
  <si>
    <t>회계정책 : 수익을 인식하기 위하여 적용한 회계정책(용역제공거래의 진행률의 결정방법을 포함한다)</t>
    <phoneticPr fontId="7" type="noConversion"/>
  </si>
  <si>
    <t>매출액은 총매출액에서 매출에누리와 환입 및 매출할인을 차감하여 기재</t>
    <phoneticPr fontId="7" type="noConversion"/>
  </si>
  <si>
    <t>수익을 인식하기 위하여 적용한 회계정책과 용역제공거래의 진행률의 결정방법(주석)</t>
    <phoneticPr fontId="7" type="noConversion"/>
  </si>
  <si>
    <t>건설업의 경우 공사손익의 인식방법과 공사진행율의 계산방법(주석)</t>
    <phoneticPr fontId="7" type="noConversion"/>
  </si>
  <si>
    <t>반제품매출액, 부산물매출액, 작업폐물매출액, 수출액, 장기할부매출액 등이 중요한 경우 구분표시 또는 주석</t>
    <phoneticPr fontId="7" type="noConversion"/>
  </si>
  <si>
    <t>중소기업의 회계처리에 대한 특례규정을 적용하는 경우에는 그 내용(주석)</t>
    <phoneticPr fontId="7" type="noConversion"/>
  </si>
  <si>
    <t>분석적 검토</t>
    <phoneticPr fontId="7" type="noConversion"/>
  </si>
  <si>
    <t>최근 2-3년간 손익계산서에 대한 다음의 분석적검토를 실시한다.</t>
    <phoneticPr fontId="7" type="noConversion"/>
  </si>
  <si>
    <t>⑴ 매출액의 내용별 구성비율의 분석</t>
    <phoneticPr fontId="7" type="noConversion"/>
  </si>
  <si>
    <t>⑵ 매출액과 판매비(운반비, 수출비, 판매수수료등)와의 비교분석</t>
    <phoneticPr fontId="7" type="noConversion"/>
  </si>
  <si>
    <t>⑶ 월별매출액의 비교분석</t>
    <phoneticPr fontId="7" type="noConversion"/>
  </si>
  <si>
    <t>⑷ 매출총이익율의 분석</t>
    <phoneticPr fontId="7" type="noConversion"/>
  </si>
  <si>
    <t>⑸ 매출액 대비 환입, 에누리, 할인등의 비교분석</t>
    <phoneticPr fontId="7" type="noConversion"/>
  </si>
  <si>
    <t>⑹ 재무비율의 추이를 분석하고 결과치를 산업평균과 경쟁사와 비교</t>
    <phoneticPr fontId="7" type="noConversion"/>
  </si>
  <si>
    <t>⑺ 월별 또는 분기별 예산과 실제 매출액을 비교하고, 중요한 차이에 대한 검토</t>
    <phoneticPr fontId="7" type="noConversion"/>
  </si>
  <si>
    <t>⑻ 결산일 전후 수일간의 매출액을 당해연도 평균 일일 매출액과 비교</t>
    <phoneticPr fontId="7" type="noConversion"/>
  </si>
  <si>
    <t>⑼ 당기의 월별 판매단가자료를 입수하여 추세를 분석하고, 전기의 평균판매단가와 비교</t>
    <phoneticPr fontId="7" type="noConversion"/>
  </si>
  <si>
    <t>수익인식기준의 타당성</t>
    <phoneticPr fontId="7" type="noConversion"/>
  </si>
  <si>
    <t>⑴ 거래형태별 수익인식기준의 타당성과 계속성을 검토</t>
    <phoneticPr fontId="7" type="noConversion"/>
  </si>
  <si>
    <t>⑵ 거래이후에도 판매자가 관련 재화의 소유에 따른 위험을 부담하는 경우 수익인식의 적정성(반품추정액의 적정성 포함)</t>
    <phoneticPr fontId="7" type="noConversion"/>
  </si>
  <si>
    <t>⑶ 특수판매(위탁판매, 할부판매, 예약판매, 시용판매, 도급공사등)가 있는 경우 미실현이익의 계상여부를 검토</t>
    <phoneticPr fontId="7" type="noConversion"/>
  </si>
  <si>
    <r>
      <t>⑷ 매출에누리, 매출환입, 매출할인, 판매장려금 등의 기간귀속의 적정성을 검토하고, 매출액의 차감항목으로 회계처리</t>
    </r>
    <r>
      <rPr>
        <sz val="11"/>
        <rFont val="Book Antiqua"/>
        <family val="1"/>
      </rPr>
      <t/>
    </r>
    <phoneticPr fontId="7" type="noConversion"/>
  </si>
  <si>
    <t>⑸ 수익의 총액 또는 순액인식의 타당성에 대하여 검토(회계기준적용의견서 2003-2 참조)</t>
    <phoneticPr fontId="7" type="noConversion"/>
  </si>
  <si>
    <r>
      <t>결산일 직전․후의 거래를 분석하여</t>
    </r>
    <r>
      <rPr>
        <sz val="10"/>
        <color indexed="8"/>
        <rFont val="맑은 고딕"/>
        <family val="3"/>
        <charset val="129"/>
        <scheme val="major"/>
      </rPr>
      <t xml:space="preserve"> 기간귀속의 적정성</t>
    </r>
    <phoneticPr fontId="7" type="noConversion"/>
  </si>
  <si>
    <t>      </t>
    <phoneticPr fontId="7" type="noConversion"/>
  </si>
  <si>
    <t>중요한 반제품등 매출액, 수출액 및 장기할부매출액과 관련 매출원가의 내용(주석)</t>
    <phoneticPr fontId="7" type="noConversion"/>
  </si>
  <si>
    <t>매입액은 총매입액에서 매입에누리와 환출 및 매입할인을 차감하여 기재</t>
    <phoneticPr fontId="7" type="noConversion"/>
  </si>
  <si>
    <t>제조원가에 포함된 부가가치구성의 과목과 금액(주석)</t>
    <phoneticPr fontId="7" type="noConversion"/>
  </si>
  <si>
    <t>특수관계자와의 거래내역(주석)</t>
    <phoneticPr fontId="7" type="noConversion"/>
  </si>
  <si>
    <t>원가계산방법의 타당성</t>
    <phoneticPr fontId="7" type="noConversion"/>
  </si>
  <si>
    <t>제조원가항목의 분석적검토</t>
    <phoneticPr fontId="7" type="noConversion"/>
  </si>
  <si>
    <t>기간귀속의 적정성</t>
    <phoneticPr fontId="7" type="noConversion"/>
  </si>
  <si>
    <t>매출원가 차감(가산)항목의 적정성</t>
    <phoneticPr fontId="7" type="noConversion"/>
  </si>
  <si>
    <t>제조원가명세서의 적정성</t>
    <phoneticPr fontId="7" type="noConversion"/>
  </si>
  <si>
    <t>판매비와 관리비에 포함된 부가가치구성의 과목과 금액(주석)</t>
    <phoneticPr fontId="7" type="noConversion"/>
  </si>
  <si>
    <t>당기에 비용으로 인식한 연구비와 경상개발비의 총액(주석)</t>
    <phoneticPr fontId="7" type="noConversion"/>
  </si>
  <si>
    <t>무형자산의 상각액이 포함되어 있는 손익계산서의 계정과목과 상각금액(주석)</t>
    <phoneticPr fontId="7" type="noConversion"/>
  </si>
  <si>
    <t>B/S계정과 대조</t>
    <phoneticPr fontId="7" type="noConversion"/>
  </si>
  <si>
    <t>⑵ 감가상각비와 수선비는 유형자산 감사조서와 연결</t>
    <phoneticPr fontId="7" type="noConversion"/>
  </si>
  <si>
    <t>⑶ 무형자산상각비는 무형자산 감사조서와 연결</t>
    <phoneticPr fontId="7" type="noConversion"/>
  </si>
  <si>
    <t>⑷ 대손상각비는 매출채권, 대손충당금감사조서와 연결</t>
    <phoneticPr fontId="7" type="noConversion"/>
  </si>
  <si>
    <t>⑸ 보험료는 선급비용과 연결</t>
    <phoneticPr fontId="7" type="noConversion"/>
  </si>
  <si>
    <r>
      <t>전력비, 수도료, 임차료, 사용료등 매월 지급되는 비용은</t>
    </r>
    <r>
      <rPr>
        <sz val="10"/>
        <color indexed="8"/>
        <rFont val="맑은 고딕"/>
        <family val="3"/>
        <charset val="129"/>
        <scheme val="major"/>
      </rPr>
      <t xml:space="preserve"> 최종월지급분의 계상유무를 검토</t>
    </r>
    <phoneticPr fontId="7" type="noConversion"/>
  </si>
  <si>
    <t>- 사업연도 종료일부터 감사종료일까지 입출금거래전표를 개관하고 특이한 거래 또는 부외부채의 유무를 확인</t>
    <phoneticPr fontId="3" type="noConversion"/>
  </si>
  <si>
    <t xml:space="preserve">- 공정가액으로 평가하는 주요 유가증권의 분류별로 공정가액 측정방법과 </t>
  </si>
  <si>
    <t>- 공정가액을 결정할 때 사용한 할인율을 포함한 공정가액 추정상의 주요 전제조건</t>
  </si>
  <si>
    <t xml:space="preserve">- 실현손익을 계산하기 위한 유가증권의 원가 결정 방법(예：개별법, 총평균법, 이동평균법 또는 다른 합리적인 방법)   </t>
  </si>
  <si>
    <t>- 지분법 적용대상 투자주식의 선정기준</t>
  </si>
  <si>
    <t>- 지분법 적용중단기준 및 재개기준 등 투자제거차액의 계산방법</t>
  </si>
  <si>
    <t>- 상각 또는 환입기준 등 투자회사와 다른 회계처리 방법을 피투자회사가 적용하고 있는 경우 이에 대한 조정방침</t>
  </si>
  <si>
    <t>- 보유중인 유가증권은 실사</t>
    <phoneticPr fontId="5" type="noConversion"/>
  </si>
  <si>
    <t>- 타처 보관 또는 담보로 제공된 유가증권은 보관자에게 직접 조회하거나 보관확인서를 입수</t>
    <phoneticPr fontId="5" type="noConversion"/>
  </si>
  <si>
    <t xml:space="preserve">    또는 평균법에 저가법을 적용하여 계산한 재고자산평가액과의 차이</t>
    <phoneticPr fontId="7" type="noConversion"/>
  </si>
  <si>
    <t xml:space="preserve">    (기초재고청산)에는 판매된 기초재고자산의 수량에 당 회계기간 중 평균취득단가를 곱한 금액과 판매된 </t>
    <phoneticPr fontId="7" type="noConversion"/>
  </si>
  <si>
    <t xml:space="preserve">    기초재고자산의 장부상 원가와의 차액</t>
    <phoneticPr fontId="7" type="noConversion"/>
  </si>
  <si>
    <t>- 동 특허권에 대하여 10년의 내용연수로 정액 상각하고 있음.</t>
    <phoneticPr fontId="5" type="noConversion"/>
  </si>
  <si>
    <t>무형자산에 대한 지출로서 과거 회계연도의 재무제표나 중간재무제표에서 비용으로 인식한 지출</t>
    <phoneticPr fontId="7" type="noConversion"/>
  </si>
  <si>
    <t>무형자산의 취득 및 처분에 대한 검토</t>
    <phoneticPr fontId="7" type="noConversion"/>
  </si>
  <si>
    <t>무형자산의 취득에 대한 약정사항 및 금액(주석)</t>
    <phoneticPr fontId="5" type="noConversion"/>
  </si>
  <si>
    <t>감액손실이 발생한 무형자산에 대한 내용과 금액(주석)</t>
    <phoneticPr fontId="5" type="noConversion"/>
  </si>
  <si>
    <t>권리가 제한되어 있는 무형자산과 담보제공 무형자산의 장부가액(주석)</t>
    <phoneticPr fontId="5" type="noConversion"/>
  </si>
  <si>
    <t>무형자산으로 인식하지 아니한 중요한 지출과 관련된 사항 등의 추가적 기재사항(주석)</t>
    <phoneticPr fontId="5" type="noConversion"/>
  </si>
  <si>
    <t>영업권 또는 부의영업권과 관련된 내용(주석)</t>
    <phoneticPr fontId="5" type="noConversion"/>
  </si>
  <si>
    <t>무형자산으로 인식한 개발비와 당기비용으로 인식한 연구비 및 경상개발비의 회계처리 적정성</t>
    <phoneticPr fontId="5" type="noConversion"/>
  </si>
  <si>
    <r>
      <t>영업권과 부의영업권</t>
    </r>
    <r>
      <rPr>
        <sz val="10"/>
        <color indexed="8"/>
        <rFont val="맑은 고딕"/>
        <family val="3"/>
        <charset val="129"/>
        <scheme val="major"/>
      </rPr>
      <t>의 회계처리의 적정성을 검토한다.(인수합병준칙 참조)</t>
    </r>
    <phoneticPr fontId="5" type="noConversion"/>
  </si>
  <si>
    <t>국고보조금의 회계처리</t>
    <phoneticPr fontId="5" type="noConversion"/>
  </si>
  <si>
    <t>  1) 기초잔액</t>
    <phoneticPr fontId="7" type="noConversion"/>
  </si>
  <si>
    <t>  2) 기중차입, 상환 및 갱신액(외화의 경우는 상환손익)</t>
    <phoneticPr fontId="7" type="noConversion"/>
  </si>
  <si>
    <t>  3) 기말잔액(유동 및 고정부분을 구분하고 외화인 경우는 환산전금액, 환산후금액 환산손익도 표시)</t>
    <phoneticPr fontId="7" type="noConversion"/>
  </si>
  <si>
    <t>법인세비용</t>
  </si>
  <si>
    <t>세금과공과</t>
  </si>
  <si>
    <t>접대비</t>
  </si>
  <si>
    <t>지급이자</t>
  </si>
  <si>
    <t>자산재평가차액</t>
  </si>
  <si>
    <t>단기투자자산평가손실</t>
  </si>
  <si>
    <t>퇴직보험료</t>
  </si>
  <si>
    <t>하자보수충당부채</t>
  </si>
  <si>
    <t>건설자금이자</t>
  </si>
  <si>
    <t>매도가능증권 감액손실</t>
  </si>
  <si>
    <t>재고자산평가손실충당금</t>
  </si>
  <si>
    <t>퇴직급여충당부채</t>
    <phoneticPr fontId="3" type="noConversion"/>
  </si>
  <si>
    <t>하자보수충당부채</t>
    <phoneticPr fontId="3" type="noConversion"/>
  </si>
  <si>
    <t>재고자산평가손실충당금</t>
    <phoneticPr fontId="3" type="noConversion"/>
  </si>
  <si>
    <t>건설자금이자</t>
    <phoneticPr fontId="3" type="noConversion"/>
  </si>
  <si>
    <t>미수수익</t>
    <phoneticPr fontId="3" type="noConversion"/>
  </si>
  <si>
    <t>1) 코드구분</t>
    <phoneticPr fontId="3" type="noConversion"/>
  </si>
  <si>
    <t>구 분</t>
    <phoneticPr fontId="3" type="noConversion"/>
  </si>
  <si>
    <t>Code</t>
    <phoneticPr fontId="3" type="noConversion"/>
  </si>
  <si>
    <t>본래 익금불산입/손금산입 항목</t>
    <phoneticPr fontId="3" type="noConversion"/>
  </si>
  <si>
    <t>본래 익금산입/손금불산입 항목</t>
    <phoneticPr fontId="3" type="noConversion"/>
  </si>
  <si>
    <t>Code.</t>
    <phoneticPr fontId="3" type="noConversion"/>
  </si>
  <si>
    <t>구  분</t>
    <phoneticPr fontId="5" type="noConversion"/>
  </si>
  <si>
    <t>일시적차이</t>
    <phoneticPr fontId="5" type="noConversion"/>
  </si>
  <si>
    <t>영구적차이</t>
    <phoneticPr fontId="5" type="noConversion"/>
  </si>
  <si>
    <t>구  분</t>
    <phoneticPr fontId="5" type="noConversion"/>
  </si>
  <si>
    <t>일시적차이</t>
    <phoneticPr fontId="5" type="noConversion"/>
  </si>
  <si>
    <t>영구적차이</t>
    <phoneticPr fontId="5" type="noConversion"/>
  </si>
  <si>
    <r>
      <t xml:space="preserve">  </t>
    </r>
    <r>
      <rPr>
        <sz val="10"/>
        <rFont val="바탕"/>
        <family val="1"/>
        <charset val="129"/>
      </rPr>
      <t>매출채권대손충당금</t>
    </r>
    <r>
      <rPr>
        <sz val="10"/>
        <rFont val="Times New Roman"/>
        <family val="1"/>
      </rPr>
      <t>(</t>
    </r>
    <r>
      <rPr>
        <sz val="10"/>
        <rFont val="바탕"/>
        <family val="1"/>
        <charset val="129"/>
      </rPr>
      <t>주석</t>
    </r>
    <r>
      <rPr>
        <sz val="10"/>
        <rFont val="Times New Roman"/>
        <family val="1"/>
      </rPr>
      <t>2)</t>
    </r>
    <phoneticPr fontId="3" type="noConversion"/>
  </si>
  <si>
    <r>
      <t xml:space="preserve">   </t>
    </r>
    <r>
      <rPr>
        <sz val="10"/>
        <rFont val="바탕"/>
        <family val="1"/>
        <charset val="129"/>
      </rPr>
      <t>선급금대손충당금</t>
    </r>
    <phoneticPr fontId="3" type="noConversion"/>
  </si>
  <si>
    <t>Check</t>
    <phoneticPr fontId="3" type="noConversion"/>
  </si>
  <si>
    <t>기말잔액수식체크</t>
    <phoneticPr fontId="3" type="noConversion"/>
  </si>
  <si>
    <t>구분</t>
    <phoneticPr fontId="5" type="noConversion"/>
  </si>
  <si>
    <t>원인</t>
    <phoneticPr fontId="5" type="noConversion"/>
  </si>
  <si>
    <t>현금의감소</t>
    <phoneticPr fontId="5" type="noConversion"/>
  </si>
  <si>
    <t>현금의증가</t>
    <phoneticPr fontId="5" type="noConversion"/>
  </si>
  <si>
    <t>영업활동에 의한 현금흐름</t>
    <phoneticPr fontId="3" type="noConversion"/>
  </si>
  <si>
    <t xml:space="preserve">  당기순이익</t>
    <phoneticPr fontId="3" type="noConversion"/>
  </si>
  <si>
    <t xml:space="preserve">  현금의 유출이 없는 비용등의 가산</t>
    <phoneticPr fontId="3" type="noConversion"/>
  </si>
  <si>
    <t xml:space="preserve">  현금의 유입이 없는 수익등의 차감</t>
    <phoneticPr fontId="3" type="noConversion"/>
  </si>
  <si>
    <t xml:space="preserve">  영업활동으로 인한 자산부채의 변동</t>
    <phoneticPr fontId="3" type="noConversion"/>
  </si>
  <si>
    <t>투자활동으로 인한 현금흐름</t>
    <phoneticPr fontId="3" type="noConversion"/>
  </si>
  <si>
    <t xml:space="preserve">  투자활동으로 인한 현금유입액</t>
    <phoneticPr fontId="3" type="noConversion"/>
  </si>
  <si>
    <t xml:space="preserve">  투자활동으로 인한 현금유출액</t>
    <phoneticPr fontId="3" type="noConversion"/>
  </si>
  <si>
    <t>재무활동으로 인한 현금흐름</t>
    <phoneticPr fontId="3" type="noConversion"/>
  </si>
  <si>
    <t xml:space="preserve">  재무활동으로 인한 현금유입액</t>
    <phoneticPr fontId="3" type="noConversion"/>
  </si>
  <si>
    <t xml:space="preserve">  재무활동으로 인한 현금유출액</t>
    <phoneticPr fontId="3" type="noConversion"/>
  </si>
  <si>
    <t>현금의 증가(감소) (I + II + III)</t>
    <phoneticPr fontId="3" type="noConversion"/>
  </si>
  <si>
    <t>기초의 현금</t>
    <phoneticPr fontId="3" type="noConversion"/>
  </si>
  <si>
    <t>기말의 현금</t>
    <phoneticPr fontId="3" type="noConversion"/>
  </si>
  <si>
    <t>구 분</t>
    <phoneticPr fontId="3" type="noConversion"/>
  </si>
  <si>
    <t>Code</t>
    <phoneticPr fontId="3" type="noConversion"/>
  </si>
  <si>
    <t>1.1</t>
    <phoneticPr fontId="3" type="noConversion"/>
  </si>
  <si>
    <t>1.2</t>
  </si>
  <si>
    <t>1.3</t>
  </si>
  <si>
    <t>1.4</t>
  </si>
  <si>
    <t>1.</t>
    <phoneticPr fontId="3" type="noConversion"/>
  </si>
  <si>
    <t>2.</t>
    <phoneticPr fontId="3" type="noConversion"/>
  </si>
  <si>
    <t>3.</t>
    <phoneticPr fontId="3" type="noConversion"/>
  </si>
  <si>
    <t>2.1</t>
    <phoneticPr fontId="3" type="noConversion"/>
  </si>
  <si>
    <t>3.1</t>
    <phoneticPr fontId="3" type="noConversion"/>
  </si>
  <si>
    <t>3.2</t>
  </si>
  <si>
    <t>2.2</t>
  </si>
  <si>
    <t>금 액</t>
    <phoneticPr fontId="3" type="noConversion"/>
  </si>
  <si>
    <t>4.</t>
    <phoneticPr fontId="3" type="noConversion"/>
  </si>
  <si>
    <t>현금의 증가(감소) (I + II + III)</t>
    <phoneticPr fontId="3" type="noConversion"/>
  </si>
  <si>
    <t>가나</t>
    <phoneticPr fontId="3" type="noConversion"/>
  </si>
  <si>
    <t>추정 복구비용 관련사항(주석)</t>
    <phoneticPr fontId="5" type="noConversion"/>
  </si>
  <si>
    <t>유형자산을 취득하기 위한 약정액(주석)</t>
    <phoneticPr fontId="5" type="noConversion"/>
  </si>
  <si>
    <t>감액손실에 관한 내용(주석)</t>
    <phoneticPr fontId="5" type="noConversion"/>
  </si>
  <si>
    <t>최근재평가년월일과 재평가차액(주석)</t>
    <phoneticPr fontId="5" type="noConversion"/>
  </si>
  <si>
    <t>리스자산이 있는 경우 회계처리방법, 관련자산, 부채의 금액과 내용(주석)</t>
    <phoneticPr fontId="5" type="noConversion"/>
  </si>
  <si>
    <t>감가상각방법변경의 경우 그 변경의 타당성과 재무제표에 미치는 영향(본문 또는 주석)</t>
    <phoneticPr fontId="5" type="noConversion"/>
  </si>
  <si>
    <t>1.</t>
    <phoneticPr fontId="7" type="noConversion"/>
  </si>
  <si>
    <t>자산총액</t>
  </si>
  <si>
    <t>매출액</t>
  </si>
  <si>
    <t>규모금액</t>
  </si>
  <si>
    <t>자기자본</t>
  </si>
  <si>
    <t>자본금</t>
  </si>
  <si>
    <t>당기순손익</t>
  </si>
  <si>
    <t>중요성 기준금액 산정(전기말 기준)</t>
    <phoneticPr fontId="7" type="noConversion"/>
  </si>
  <si>
    <t>구 분</t>
    <phoneticPr fontId="3" type="noConversion"/>
  </si>
  <si>
    <t>금 액</t>
    <phoneticPr fontId="3" type="noConversion"/>
  </si>
  <si>
    <t>(제5조 제1항 금액)</t>
  </si>
  <si>
    <t xml:space="preserve">1. 당기손익등 중요성 금액 : </t>
    <phoneticPr fontId="5" type="noConversion"/>
  </si>
  <si>
    <t xml:space="preserve">2. 자산부채과소 등 중요성 금액 : </t>
    <phoneticPr fontId="5" type="noConversion"/>
  </si>
  <si>
    <t xml:space="preserve">3. 주석사항 중요성 금액 : </t>
    <phoneticPr fontId="5" type="noConversion"/>
  </si>
  <si>
    <t xml:space="preserve">4. 계정재분류 등 중요성 금액 : </t>
    <phoneticPr fontId="5" type="noConversion"/>
  </si>
  <si>
    <t xml:space="preserve"> +</t>
  </si>
  <si>
    <t>(주1)적자반전 및 완전자본잠식 대상여부(중요성 기준 제5조 제4항)</t>
    <phoneticPr fontId="5" type="noConversion"/>
  </si>
  <si>
    <t xml:space="preserve"> 매출액 X 5%</t>
    <phoneticPr fontId="5" type="noConversion"/>
  </si>
  <si>
    <t>매출액 5%이상</t>
    <phoneticPr fontId="5" type="noConversion"/>
  </si>
  <si>
    <t>적자반전                           (제1항 금액기준)</t>
    <phoneticPr fontId="5" type="noConversion"/>
  </si>
  <si>
    <t>매출액*5%이고 적자반전 여부 :</t>
    <phoneticPr fontId="5" type="noConversion"/>
  </si>
  <si>
    <t xml:space="preserve">자본금 X 25% </t>
    <phoneticPr fontId="5" type="noConversion"/>
  </si>
  <si>
    <t>자본금25% 이상</t>
    <phoneticPr fontId="5" type="noConversion"/>
  </si>
  <si>
    <t>완전자본잠식                   (제1항 금액기준)</t>
    <phoneticPr fontId="5" type="noConversion"/>
  </si>
  <si>
    <t>자본금*25%이고 완전자본잠식 여부</t>
    <phoneticPr fontId="5" type="noConversion"/>
  </si>
  <si>
    <t>(주2) 규모조정계수 산출표</t>
    <phoneticPr fontId="5" type="noConversion"/>
  </si>
  <si>
    <t>최소</t>
  </si>
  <si>
    <t>최대</t>
  </si>
  <si>
    <t>기본</t>
  </si>
  <si>
    <t>보간율</t>
  </si>
  <si>
    <t>규모조정계수</t>
  </si>
  <si>
    <t>기타</t>
    <phoneticPr fontId="5" type="noConversion"/>
  </si>
  <si>
    <t>상장,코스닥,상장예정,금융기관</t>
    <phoneticPr fontId="5" type="noConversion"/>
  </si>
  <si>
    <t>분석적검토</t>
    <phoneticPr fontId="5" type="noConversion"/>
  </si>
  <si>
    <t>구분</t>
    <phoneticPr fontId="110" type="noConversion"/>
  </si>
  <si>
    <t>대손충당금</t>
    <phoneticPr fontId="110" type="noConversion"/>
  </si>
  <si>
    <t>재고자산</t>
    <phoneticPr fontId="110" type="noConversion"/>
  </si>
  <si>
    <t>-제품재고</t>
    <phoneticPr fontId="110" type="noConversion"/>
  </si>
  <si>
    <t>-원재료재고</t>
    <phoneticPr fontId="110" type="noConversion"/>
  </si>
  <si>
    <t>-부재료재고</t>
    <phoneticPr fontId="110" type="noConversion"/>
  </si>
  <si>
    <t>-재공품재고</t>
    <phoneticPr fontId="110" type="noConversion"/>
  </si>
  <si>
    <t>-미착품재고</t>
    <phoneticPr fontId="110" type="noConversion"/>
  </si>
  <si>
    <t>-기타재고</t>
    <phoneticPr fontId="110" type="noConversion"/>
  </si>
  <si>
    <t>비유동자산</t>
    <phoneticPr fontId="110" type="noConversion"/>
  </si>
  <si>
    <t>총자산</t>
  </si>
  <si>
    <t>매입채무</t>
    <phoneticPr fontId="110" type="noConversion"/>
  </si>
  <si>
    <t>단기차입금(잔액)</t>
    <phoneticPr fontId="110" type="noConversion"/>
  </si>
  <si>
    <t>고정부채</t>
  </si>
  <si>
    <t>장기차입금(잔액)</t>
    <phoneticPr fontId="110" type="noConversion"/>
  </si>
  <si>
    <t>퇴직급여충당금</t>
    <phoneticPr fontId="110" type="noConversion"/>
  </si>
  <si>
    <t>부채총계</t>
  </si>
  <si>
    <t>매출할인,에누리등</t>
    <phoneticPr fontId="110" type="noConversion"/>
  </si>
  <si>
    <t>판매수량</t>
    <phoneticPr fontId="110" type="noConversion"/>
  </si>
  <si>
    <t>매출원가</t>
    <phoneticPr fontId="110" type="noConversion"/>
  </si>
  <si>
    <t>제조원가</t>
    <phoneticPr fontId="110" type="noConversion"/>
  </si>
  <si>
    <t>원재료비</t>
    <phoneticPr fontId="110" type="noConversion"/>
  </si>
  <si>
    <t>원재료등매입액</t>
    <phoneticPr fontId="7" type="noConversion"/>
  </si>
  <si>
    <t>노무비</t>
    <phoneticPr fontId="110" type="noConversion"/>
  </si>
  <si>
    <t>-급여등</t>
    <phoneticPr fontId="110" type="noConversion"/>
  </si>
  <si>
    <t>-퇴직급여</t>
    <phoneticPr fontId="110" type="noConversion"/>
  </si>
  <si>
    <t>경비</t>
    <phoneticPr fontId="110" type="noConversion"/>
  </si>
  <si>
    <r>
      <t>-감가상각비</t>
    </r>
    <r>
      <rPr>
        <sz val="10"/>
        <rFont val="Book Antiqua"/>
        <family val="1"/>
      </rPr>
      <t/>
    </r>
    <phoneticPr fontId="110" type="noConversion"/>
  </si>
  <si>
    <t>판관비</t>
    <phoneticPr fontId="110" type="noConversion"/>
  </si>
  <si>
    <t>-대손상각비</t>
    <phoneticPr fontId="110" type="noConversion"/>
  </si>
  <si>
    <t>운반비,수출제비용,판매수수료</t>
    <phoneticPr fontId="110" type="noConversion"/>
  </si>
  <si>
    <t>영업이익</t>
  </si>
  <si>
    <t>이자수익</t>
    <phoneticPr fontId="110" type="noConversion"/>
  </si>
  <si>
    <t>당기순이익</t>
  </si>
  <si>
    <t>영업활동으로인한현금흐름</t>
  </si>
  <si>
    <t>퇴직금지급액</t>
    <phoneticPr fontId="110" type="noConversion"/>
  </si>
  <si>
    <t>인원수</t>
    <phoneticPr fontId="110" type="noConversion"/>
  </si>
  <si>
    <t>1.안전성지표</t>
  </si>
  <si>
    <t>산식</t>
  </si>
  <si>
    <t>당기비율</t>
  </si>
  <si>
    <t>전기비율</t>
  </si>
  <si>
    <t>유동비율</t>
  </si>
  <si>
    <t>(유동자산/유동부채)*100</t>
  </si>
  <si>
    <t>부채비율</t>
  </si>
  <si>
    <t>(부채총계/자기자본)*100</t>
  </si>
  <si>
    <t>차입금의존도</t>
  </si>
  <si>
    <t>(차입금/총자산)*100</t>
  </si>
  <si>
    <t>영업이익대비이자보상배율</t>
  </si>
  <si>
    <t>(영업이익/이자비용)*100</t>
  </si>
  <si>
    <t>2.수익성지표</t>
  </si>
  <si>
    <t>매출액영업이익률</t>
  </si>
  <si>
    <t>(영업이익/매출액)*100</t>
  </si>
  <si>
    <t>매출액순이익률</t>
  </si>
  <si>
    <t>(당기순이익/매출액)*100</t>
  </si>
  <si>
    <t>총자산순이익률</t>
  </si>
  <si>
    <t>(당기순이익/총자산)*100</t>
  </si>
  <si>
    <t>자기자본순이익률</t>
  </si>
  <si>
    <t>(당기순이익/자기자본)*100</t>
    <phoneticPr fontId="110" type="noConversion"/>
  </si>
  <si>
    <t>총자산대비영업현금흐름비율</t>
  </si>
  <si>
    <t>(영업활동으로인한현금흐름/총자산)*100</t>
  </si>
  <si>
    <t>3.성장성 및 활동성지표</t>
  </si>
  <si>
    <t>전전기비율</t>
    <phoneticPr fontId="110" type="noConversion"/>
  </si>
  <si>
    <t>매출액증가율</t>
  </si>
  <si>
    <t>(당기매출액/전기매출액) *100-100</t>
  </si>
  <si>
    <t>영업이익증가율</t>
  </si>
  <si>
    <t>(당기영업이익/전기영업이익)*100-100</t>
  </si>
  <si>
    <t>당기순이익증가율</t>
  </si>
  <si>
    <t>(당기순이익/전기순이익)*100-100</t>
  </si>
  <si>
    <t>총자산증가율</t>
  </si>
  <si>
    <t>(당기말총자산/전기말총자산)*100-100</t>
  </si>
  <si>
    <t>자산회전율</t>
  </si>
  <si>
    <t>매출액/{(기초총자산+기말총자산)/2}</t>
  </si>
  <si>
    <t>판매직접비율</t>
    <phoneticPr fontId="110" type="noConversion"/>
  </si>
  <si>
    <t>(운반비,수출제비, 판매수수료등÷매출액)*100</t>
    <phoneticPr fontId="110" type="noConversion"/>
  </si>
  <si>
    <t>판매단가비율</t>
    <phoneticPr fontId="110" type="noConversion"/>
  </si>
  <si>
    <t>(매출액÷판매수량)</t>
    <phoneticPr fontId="110" type="noConversion"/>
  </si>
  <si>
    <t>감소비율</t>
    <phoneticPr fontId="110" type="noConversion"/>
  </si>
  <si>
    <t>(매출환입,에누리,매출할인 등÷매출액)*100</t>
    <phoneticPr fontId="110" type="noConversion"/>
  </si>
  <si>
    <t>매출채권증감율</t>
    <phoneticPr fontId="110" type="noConversion"/>
  </si>
  <si>
    <t>매출채권회전율</t>
    <phoneticPr fontId="110" type="noConversion"/>
  </si>
  <si>
    <t>(매출채권×365÷매출액)</t>
    <phoneticPr fontId="110" type="noConversion"/>
  </si>
  <si>
    <t>대손충당금 설정비율</t>
    <phoneticPr fontId="110" type="noConversion"/>
  </si>
  <si>
    <t>(대손충당금÷매출채권)*100</t>
    <phoneticPr fontId="110" type="noConversion"/>
  </si>
  <si>
    <t>매입채무총액증감율</t>
    <phoneticPr fontId="110" type="noConversion"/>
  </si>
  <si>
    <t>매입채무회전율</t>
    <phoneticPr fontId="110" type="noConversion"/>
  </si>
  <si>
    <t>(매입채무×365÷매입액)</t>
    <phoneticPr fontId="110" type="noConversion"/>
  </si>
  <si>
    <t>과목별구성비율</t>
    <phoneticPr fontId="110" type="noConversion"/>
  </si>
  <si>
    <t>재고자산</t>
    <phoneticPr fontId="110" type="noConversion"/>
  </si>
  <si>
    <t>-제품재고</t>
    <phoneticPr fontId="110" type="noConversion"/>
  </si>
  <si>
    <t>-원재료재고</t>
    <phoneticPr fontId="110" type="noConversion"/>
  </si>
  <si>
    <t>-부재료재고</t>
    <phoneticPr fontId="110" type="noConversion"/>
  </si>
  <si>
    <t>-재공품재고</t>
    <phoneticPr fontId="110" type="noConversion"/>
  </si>
  <si>
    <t>-미착품재고</t>
    <phoneticPr fontId="110" type="noConversion"/>
  </si>
  <si>
    <t>-기타재고</t>
    <phoneticPr fontId="110" type="noConversion"/>
  </si>
  <si>
    <t>과목별 회전율</t>
    <phoneticPr fontId="110" type="noConversion"/>
  </si>
  <si>
    <t>(매출액÷재고자산)*100</t>
    <phoneticPr fontId="110" type="noConversion"/>
  </si>
  <si>
    <t>제품별 매출원가율</t>
    <phoneticPr fontId="110" type="noConversion"/>
  </si>
  <si>
    <t>(매출원가÷매출액)*100</t>
    <phoneticPr fontId="110" type="noConversion"/>
  </si>
  <si>
    <t>제조원가 구성비율</t>
    <phoneticPr fontId="110" type="noConversion"/>
  </si>
  <si>
    <t>-원재료비율</t>
    <phoneticPr fontId="110" type="noConversion"/>
  </si>
  <si>
    <t>(원재료비÷제조원가)*100</t>
    <phoneticPr fontId="110" type="noConversion"/>
  </si>
  <si>
    <t>-노무비율</t>
    <phoneticPr fontId="110" type="noConversion"/>
  </si>
  <si>
    <t>(노무비÷제조원가)*100</t>
    <phoneticPr fontId="110" type="noConversion"/>
  </si>
  <si>
    <t>-경비율</t>
    <phoneticPr fontId="110" type="noConversion"/>
  </si>
  <si>
    <t>(경비비÷제조원가)*100</t>
    <phoneticPr fontId="110" type="noConversion"/>
  </si>
  <si>
    <t>단위원가구성비율</t>
    <phoneticPr fontId="110" type="noConversion"/>
  </si>
  <si>
    <t>유형자산증감율</t>
    <phoneticPr fontId="110" type="noConversion"/>
  </si>
  <si>
    <r>
      <t>감가상각비율</t>
    </r>
    <r>
      <rPr>
        <sz val="10"/>
        <rFont val="Book Antiqua"/>
        <family val="1"/>
      </rPr>
      <t/>
    </r>
    <phoneticPr fontId="110" type="noConversion"/>
  </si>
  <si>
    <t>(감가상각비÷유형자산)*100</t>
    <phoneticPr fontId="110" type="noConversion"/>
  </si>
  <si>
    <t>연도별 퇴직금지급액</t>
    <phoneticPr fontId="110" type="noConversion"/>
  </si>
  <si>
    <t>1인당 평균퇴직금추계액</t>
    <phoneticPr fontId="110" type="noConversion"/>
  </si>
  <si>
    <t>퇴직금추계액÷인원수</t>
    <phoneticPr fontId="110" type="noConversion"/>
  </si>
  <si>
    <t>인건비/퇴직급여</t>
    <phoneticPr fontId="110" type="noConversion"/>
  </si>
  <si>
    <t>(인건비÷퇴직급여)*100</t>
    <phoneticPr fontId="110" type="noConversion"/>
  </si>
  <si>
    <t>부채 및 자본총계</t>
    <phoneticPr fontId="3" type="noConversion"/>
  </si>
  <si>
    <t>4.매출액</t>
    <phoneticPr fontId="110" type="noConversion"/>
  </si>
  <si>
    <t>5.매출채권</t>
    <phoneticPr fontId="110" type="noConversion"/>
  </si>
  <si>
    <t>6.매입액 및 매비채무</t>
    <phoneticPr fontId="110" type="noConversion"/>
  </si>
  <si>
    <t>7 재고자산</t>
    <phoneticPr fontId="110" type="noConversion"/>
  </si>
  <si>
    <t>8. 유형자산</t>
    <phoneticPr fontId="110" type="noConversion"/>
  </si>
  <si>
    <t>9. 퇴직급여충당부채</t>
    <phoneticPr fontId="110" type="noConversion"/>
  </si>
  <si>
    <t>유형자산(감가상각대상-순액)</t>
    <phoneticPr fontId="110" type="noConversion"/>
  </si>
  <si>
    <t>유형자산(총계)</t>
    <phoneticPr fontId="110" type="noConversion"/>
  </si>
  <si>
    <t>매출채권(총액)</t>
    <phoneticPr fontId="110" type="noConversion"/>
  </si>
  <si>
    <t>현금및현금성자산, 장단기금융상품</t>
  </si>
  <si>
    <t>GG</t>
  </si>
  <si>
    <t>자본계정</t>
  </si>
  <si>
    <t>B</t>
  </si>
  <si>
    <t>유가증권(유동,비유동,지분법 포함)</t>
  </si>
  <si>
    <t>C</t>
  </si>
  <si>
    <t>매출채권(장단기)</t>
  </si>
  <si>
    <t>P</t>
  </si>
  <si>
    <t>D</t>
  </si>
  <si>
    <t>기타당좌자산</t>
  </si>
  <si>
    <t>Q</t>
  </si>
  <si>
    <t>매출원가 및 제조원가</t>
  </si>
  <si>
    <t>E</t>
  </si>
  <si>
    <t>재고자산</t>
  </si>
  <si>
    <t>R</t>
  </si>
  <si>
    <t>판매비와 일반관리비</t>
  </si>
  <si>
    <t>E100</t>
  </si>
  <si>
    <t>재고자산실사입회</t>
  </si>
  <si>
    <t>S</t>
  </si>
  <si>
    <t>영업외수익, 영업외비용</t>
  </si>
  <si>
    <t>F</t>
  </si>
  <si>
    <t>G</t>
  </si>
  <si>
    <t>유형자산</t>
  </si>
  <si>
    <t>U</t>
  </si>
  <si>
    <t>중단사업손익</t>
  </si>
  <si>
    <t>H</t>
  </si>
  <si>
    <t>무형자산</t>
  </si>
  <si>
    <t>I</t>
  </si>
  <si>
    <t>기타비유동자산</t>
  </si>
  <si>
    <t>CL</t>
  </si>
  <si>
    <t>우발채무 및 약정사항</t>
  </si>
  <si>
    <t>AA</t>
  </si>
  <si>
    <t>매입채무(장단기)</t>
  </si>
  <si>
    <t>DER</t>
  </si>
  <si>
    <t>파생상품</t>
  </si>
  <si>
    <t>장단기차입금, 사채</t>
  </si>
  <si>
    <t>IOC</t>
  </si>
  <si>
    <t>정보시스템조직의 회계관리 입출력</t>
  </si>
  <si>
    <t>CC</t>
  </si>
  <si>
    <t>기타유동부채</t>
  </si>
  <si>
    <t>EE</t>
  </si>
  <si>
    <t>퇴직급여충당부채, 급여</t>
  </si>
  <si>
    <t>FF</t>
  </si>
  <si>
    <t>제충당부채, 기타의 비유동부채</t>
  </si>
  <si>
    <t>TUL</t>
  </si>
  <si>
    <t>부외부채</t>
  </si>
  <si>
    <t>내 용</t>
    <phoneticPr fontId="3" type="noConversion"/>
  </si>
  <si>
    <t>Assign</t>
    <phoneticPr fontId="3" type="noConversion"/>
  </si>
  <si>
    <t>&lt;대차관련 계정&gt;</t>
    <phoneticPr fontId="3" type="noConversion"/>
  </si>
  <si>
    <t>&lt;손익관련 계정&gt;</t>
    <phoneticPr fontId="3" type="noConversion"/>
  </si>
  <si>
    <t>&lt;비재무관련 계정&gt;</t>
    <phoneticPr fontId="3" type="noConversion"/>
  </si>
  <si>
    <t>입증감사절차지시서</t>
    <phoneticPr fontId="5" type="noConversion"/>
  </si>
  <si>
    <t>매출</t>
    <phoneticPr fontId="3" type="noConversion"/>
  </si>
  <si>
    <t>이연법인세,법인세비용</t>
    <phoneticPr fontId="3" type="noConversion"/>
  </si>
  <si>
    <t>E : 실재성(Existence)</t>
  </si>
  <si>
    <t>RO : 권리와 의무(Rights and obligations)</t>
  </si>
  <si>
    <t>O : 발생사실(Occurrence)</t>
  </si>
  <si>
    <t>M : 측정(Measurement)</t>
  </si>
  <si>
    <t>PD : 재무제표 표시와 공시(Presentation and disclosure)</t>
  </si>
  <si>
    <t>입증감사목적</t>
    <phoneticPr fontId="5" type="noConversion"/>
  </si>
  <si>
    <t>C : 완전성(Completeness)</t>
    <phoneticPr fontId="3" type="noConversion"/>
  </si>
  <si>
    <t>V : 평가(Valuation)</t>
  </si>
  <si>
    <t>E,C,PD</t>
  </si>
  <si>
    <t>당기말잔액은 총계정원장과, 전기말잔액은 전기감사보고서와 각각 대조하고, 양년도간 특별한 변동사항은 그 원인을 규명한다.</t>
  </si>
  <si>
    <t>C, V</t>
  </si>
  <si>
    <t>E, C, RO</t>
  </si>
  <si>
    <t>E, RO</t>
  </si>
  <si>
    <t>V</t>
  </si>
  <si>
    <t>PD</t>
  </si>
  <si>
    <t>C, V, M</t>
  </si>
  <si>
    <t>V, M</t>
  </si>
  <si>
    <t>C, PD</t>
  </si>
  <si>
    <t>작성일</t>
    <phoneticPr fontId="3" type="noConversion"/>
  </si>
  <si>
    <t>검토일</t>
    <phoneticPr fontId="3" type="noConversion"/>
  </si>
  <si>
    <t>작성자</t>
    <phoneticPr fontId="3" type="noConversion"/>
  </si>
  <si>
    <t>검토자</t>
    <phoneticPr fontId="3" type="noConversion"/>
  </si>
  <si>
    <t>구 분</t>
    <phoneticPr fontId="3" type="noConversion"/>
  </si>
  <si>
    <t>W/P No.</t>
    <phoneticPr fontId="3" type="noConversion"/>
  </si>
  <si>
    <t>현금과예금 총괄표 작성</t>
    <phoneticPr fontId="3" type="noConversion"/>
  </si>
  <si>
    <t>현금과예금 명세서</t>
    <phoneticPr fontId="3" type="noConversion"/>
  </si>
  <si>
    <t>감사절차</t>
    <phoneticPr fontId="3" type="noConversion"/>
  </si>
  <si>
    <t>감사목적</t>
    <phoneticPr fontId="3" type="noConversion"/>
  </si>
  <si>
    <t>조서번호</t>
    <phoneticPr fontId="3" type="noConversion"/>
  </si>
  <si>
    <t>현금과 제예금의 종류별, 은행구좌별 명세서(외화현금예금은 외화표시)를 입수하여 계산검증하고, 은행보조원장 등의 보조부와</t>
    <phoneticPr fontId="3" type="noConversion"/>
  </si>
  <si>
    <t>대조확인한다.</t>
    <phoneticPr fontId="3" type="noConversion"/>
  </si>
  <si>
    <t>현금, 미사용수표 및 어음의 실사를 수행한다.</t>
    <phoneticPr fontId="3" type="noConversion"/>
  </si>
  <si>
    <t>사내금고에 보관하고 있는 현금이나 유가증권이 중요하지 않은 경우에는 연말의 현금실사를 생략할 수 있다. 그러나, 어음수표</t>
    <phoneticPr fontId="3" type="noConversion"/>
  </si>
  <si>
    <t>에 대한 실사는 반드시 실시하여야 한다.</t>
    <phoneticPr fontId="3" type="noConversion"/>
  </si>
  <si>
    <t>당기말잔액은 총계정원장과, 전기말잔액은 전기감사보고서와 각각 대조하고, 양년도간 특별한 변동사항은 그 원인을 규명한다.</t>
    <phoneticPr fontId="3" type="noConversion"/>
  </si>
  <si>
    <t>4.</t>
    <phoneticPr fontId="3" type="noConversion"/>
  </si>
  <si>
    <t>금융기관 등에 대한 조회확인</t>
    <phoneticPr fontId="3" type="noConversion"/>
  </si>
  <si>
    <t>(1)</t>
    <phoneticPr fontId="3" type="noConversion"/>
  </si>
  <si>
    <t>당좌거래가 있는 금융기관에 대하여는 조회서를 100% 회신하도록 하고 동 조회서상의 미회수 어음/수표내역이 대차대조표일</t>
    <phoneticPr fontId="3" type="noConversion"/>
  </si>
  <si>
    <t>현재 미사용, 견질제공, 지급어음명세서 등을 통하여 전부 확인이 가능한지 여부를 파악하여 우발채무의 존재가능성을 검토하</t>
    <phoneticPr fontId="3" type="noConversion"/>
  </si>
  <si>
    <t>고 기중에 거래가 해지되었거나 잔액이 없는 예금계정을 포함하여 모든 금융기관으로부터 조회확인서를 입수하여 다음의 절</t>
    <phoneticPr fontId="3" type="noConversion"/>
  </si>
  <si>
    <t>차를 실시한다.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</si>
  <si>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현금예금잔액명세서의 내용과 대조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</si>
  <si>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예금, 차입금, 부외부채감사조서등 관련계정과 연결</t>
    </r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</si>
  <si>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잔액확인을 하지 않았던 구좌에 대해서는 당좌계정조정표, 예금통장, 예금증서 등의 잔액과 장부잔액의 잔액조정에 대한 </t>
    </r>
    <phoneticPr fontId="3" type="noConversion"/>
  </si>
  <si>
    <t xml:space="preserve">    타당성을 검증</t>
    <phoneticPr fontId="3" type="noConversion"/>
  </si>
  <si>
    <t>(2)</t>
    <phoneticPr fontId="3" type="noConversion"/>
  </si>
  <si>
    <t>은행연합회가 제공하는 여수신현황표를 입수하여 피감사회사의 차입금, 여신한도, 담보제공, 지급보증, 파생상품 등의 내역이</t>
    <phoneticPr fontId="3" type="noConversion"/>
  </si>
  <si>
    <t xml:space="preserve">금융기관조회서를 통하여 확인한 내용과 일치하는지 여부를 대사 확인하고 일치하지 않을 경우 회사 담당자에게 질문하고 </t>
    <phoneticPr fontId="3" type="noConversion"/>
  </si>
  <si>
    <t>필요한 경우 금융기관 담당자와 직접 연락하여 차이내역을 확인한다.</t>
    <phoneticPr fontId="3" type="noConversion"/>
  </si>
  <si>
    <t>(3)</t>
  </si>
  <si>
    <t>(3)</t>
    <phoneticPr fontId="3" type="noConversion"/>
  </si>
  <si>
    <t>회사로부터 조회서 발송대상 금융기관 리스트를 입수하여 다음과 같은 절차를 수행하라.</t>
    <phoneticPr fontId="3" type="noConversion"/>
  </si>
  <si>
    <t xml:space="preserve">① 당기 또는 전기말 현재 예․적금, 차입금, 지급보증 등의 잔액이 있는 모든 금융기관이 포함되어 있는지를 잔액명세서와 </t>
    <phoneticPr fontId="3" type="noConversion"/>
  </si>
  <si>
    <t xml:space="preserve">    대조하여 확인하라.</t>
    <phoneticPr fontId="3" type="noConversion"/>
  </si>
  <si>
    <t xml:space="preserve">② 당기말 현재 잔액은 없으나 기중 거래가 있었던 모든 금융기관이 포함되어 있는지를 확인하기 위하여 예금, 차입금 및 </t>
    <phoneticPr fontId="3" type="noConversion"/>
  </si>
  <si>
    <t xml:space="preserve">    이자비용 장부를 개관하라.</t>
    <phoneticPr fontId="3" type="noConversion"/>
  </si>
  <si>
    <t xml:space="preserve">③ 당기중 파생상품거래, 지급보증거래, 한도거래 등이 있었던 모든 금융기관이 포함되어 있는지를 확인하기 위하여 회사의 </t>
    <phoneticPr fontId="3" type="noConversion"/>
  </si>
  <si>
    <t xml:space="preserve">    자금 담당자에게 질문하고 또한 징구 받은 제계약서 및 제의사록을 검토하라.</t>
    <phoneticPr fontId="3" type="noConversion"/>
  </si>
  <si>
    <t>(4)</t>
    <phoneticPr fontId="3" type="noConversion"/>
  </si>
  <si>
    <t>모든 계좌를 조회하지 않는 경우 그 근거를 조서화한다.</t>
    <phoneticPr fontId="3" type="noConversion"/>
  </si>
  <si>
    <t>(5)</t>
    <phoneticPr fontId="3" type="noConversion"/>
  </si>
  <si>
    <t>금융기관조회서의 작성은 회사가 하는 것이 효율적이나, 발송과 회신은 감사인이 직접 수행하여야 한다.</t>
    <phoneticPr fontId="3" type="noConversion"/>
  </si>
  <si>
    <t>5.</t>
    <phoneticPr fontId="3" type="noConversion"/>
  </si>
  <si>
    <t>양도성예금증서(CD)의 실사를 수행한다.</t>
    <phoneticPr fontId="3" type="noConversion"/>
  </si>
  <si>
    <t>모두 확인하라.</t>
    <phoneticPr fontId="3" type="noConversion"/>
  </si>
  <si>
    <t xml:space="preserve">CD의 사본(또는 발생사실 확인서)이 아니라 반드시 실물을 회사가 소유하고 있는지 기말재고실사시 및 기말감사시점에 </t>
    <phoneticPr fontId="3" type="noConversion"/>
  </si>
  <si>
    <t xml:space="preserve">분석적절차를 통하여 회사의 영업현황, 재무구조 또는 자금능력 등에 비추어 그 보유사유의 타당성과 보유규모의 적정성을 </t>
    <phoneticPr fontId="3" type="noConversion"/>
  </si>
  <si>
    <t>평가하라.</t>
    <phoneticPr fontId="3" type="noConversion"/>
  </si>
  <si>
    <t>(2)</t>
    <phoneticPr fontId="3" type="noConversion"/>
  </si>
  <si>
    <t>경영자확인서에 그 내역을 기재하고, 회사소유임을 확인받는 절차를 고려하라.</t>
    <phoneticPr fontId="3" type="noConversion"/>
  </si>
  <si>
    <t>기말감사시점에 동 CD가 양도되었다면 그 양도대금이 정상적으로 회사에 입금되었는지 확인하라.</t>
    <phoneticPr fontId="3" type="noConversion"/>
  </si>
  <si>
    <t xml:space="preserve">회사에게 취득자금의 원천 및 입․출금 관련 증빙자료(통장기록등)를 요구하여 정상적인 회사의 자금능력으로 해당 CD 등을 </t>
    <phoneticPr fontId="3" type="noConversion"/>
  </si>
  <si>
    <t>취득하였는지 여부를 검토하라.</t>
    <phoneticPr fontId="3" type="noConversion"/>
  </si>
  <si>
    <t>6.</t>
    <phoneticPr fontId="3" type="noConversion"/>
  </si>
  <si>
    <t>은행계정조정표의 적정성을 검토한다.</t>
    <phoneticPr fontId="3" type="noConversion"/>
  </si>
  <si>
    <t>예금의 사용제한이나 질권, 기타 담보제공 및 장기성예금 여부를 확인하기 위하여 은행조회서, 의사록, 대출약정서 등을 검토</t>
    <phoneticPr fontId="3" type="noConversion"/>
  </si>
  <si>
    <t>한다.</t>
    <phoneticPr fontId="3" type="noConversion"/>
  </si>
  <si>
    <t>7.</t>
    <phoneticPr fontId="3" type="noConversion"/>
  </si>
  <si>
    <t>8.</t>
    <phoneticPr fontId="3" type="noConversion"/>
  </si>
  <si>
    <t>대차대조표일 전후의 현금예금 거래의 기간귀속의 적정성을 검토한다.</t>
    <phoneticPr fontId="3" type="noConversion"/>
  </si>
  <si>
    <t>사용이 제한된 예금과 장기성예금 해당 여부</t>
    <phoneticPr fontId="3" type="noConversion"/>
  </si>
  <si>
    <t>9.</t>
    <phoneticPr fontId="3" type="noConversion"/>
  </si>
  <si>
    <t>이자부예금에 대한 수입이자, 미수수익등의 적정성 확인 및 관련 손익계정과 연결한다.</t>
    <phoneticPr fontId="3" type="noConversion"/>
  </si>
  <si>
    <t>10.</t>
    <phoneticPr fontId="3" type="noConversion"/>
  </si>
  <si>
    <t>외화현금예금은 그 환산기준과 환산내용에 대한 적절한 회계처리여부를 확인한다.</t>
    <phoneticPr fontId="3" type="noConversion"/>
  </si>
  <si>
    <t>11.</t>
    <phoneticPr fontId="3" type="noConversion"/>
  </si>
  <si>
    <t>12.</t>
    <phoneticPr fontId="3" type="noConversion"/>
  </si>
  <si>
    <t>사업연도 종료일부터 감사종료일까지 입출금거래전표를 개관하고 특이한 거래 또는 부외부채의 유무를 확인한다.</t>
    <phoneticPr fontId="3" type="noConversion"/>
  </si>
  <si>
    <t>재무제표 공시사항 검토(공시사항점검표 참조)</t>
    <phoneticPr fontId="3" type="noConversion"/>
  </si>
  <si>
    <r>
      <rPr>
        <sz val="10"/>
        <rFont val="맑은 고딕"/>
        <family val="3"/>
        <charset val="129"/>
      </rPr>
      <t>①</t>
    </r>
    <r>
      <rPr>
        <sz val="10"/>
        <rFont val="맑은 고딕"/>
        <family val="3"/>
        <charset val="129"/>
        <scheme val="major"/>
      </rPr>
      <t xml:space="preserve"> 현금 및 현금성자산과 단기금융상품의 구분, 금융상품의 장단기 구분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</si>
  <si>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외화현금 및 예금의 환산기준과 환산내용</t>
    </r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</si>
  <si>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사용이 제한된 예금(사용의 제한이 없는 단기금융상품만 유동자산으로 분류)</t>
    </r>
    <phoneticPr fontId="3" type="noConversion"/>
  </si>
  <si>
    <t>13.</t>
    <phoneticPr fontId="3" type="noConversion"/>
  </si>
  <si>
    <t>감사결론의 기술</t>
    <phoneticPr fontId="3" type="noConversion"/>
  </si>
  <si>
    <t>유가증권 총괄표 작성</t>
    <phoneticPr fontId="3" type="noConversion"/>
  </si>
  <si>
    <t>E, C, PD</t>
  </si>
  <si>
    <t>유가증권 명세서</t>
    <phoneticPr fontId="3" type="noConversion"/>
  </si>
  <si>
    <t>유가증권명세서를 입수하여 계산검증하고 보조부와 대조 확인한다.</t>
  </si>
  <si>
    <t>유가증권의 실사</t>
    <phoneticPr fontId="3" type="noConversion"/>
  </si>
  <si>
    <t>보유중인 유가증권은 실사하고, 타처 보관 또는 담보로 제공된 유가증권은 보관자에게 직접 조회하거나 보관확인서를 입수한다.</t>
    <phoneticPr fontId="3" type="noConversion"/>
  </si>
  <si>
    <t>유가증권의 실재성과 소유권을 검증하고 유치권, 저당권 및 담보제공 등에 대하여 조회서, 계약서 및 의사록 등을 검토한다.</t>
    <phoneticPr fontId="3" type="noConversion"/>
  </si>
  <si>
    <t>중요한 증감내용의 검토</t>
    <phoneticPr fontId="3" type="noConversion"/>
  </si>
  <si>
    <t>당기중 중요한 유가증권 증감거래에 대해 거래연월일, 종류, 거래가격, 매각손익 등을 검토하고 증빙과 대조한다.</t>
  </si>
  <si>
    <t>E, C, V</t>
  </si>
  <si>
    <t>유가증권의 분류</t>
    <phoneticPr fontId="3" type="noConversion"/>
  </si>
  <si>
    <t>② 유가증권을 지분증권, 국공채, 채무증권등으로 분류한 자료를 입수한다.</t>
    <phoneticPr fontId="3" type="noConversion"/>
  </si>
  <si>
    <t>③ 만기가 있는 매도가능증권과 만기보유증권에 대한 만기일에 대한 정보를 입수한다.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</si>
  <si>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유가증권 보유목적등에 따라 단기매매증권, 만기보유증권, 매도가능증권 및 지분법적용 투자주식의 분류가 적정한지, 유동</t>
    </r>
    <phoneticPr fontId="3" type="noConversion"/>
  </si>
  <si>
    <t xml:space="preserve">    자산과 투자자산의 구분이 적정한지 검토한다.</t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</si>
  <si>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만기보유증권의 경우 만기까지 보유할 적극적인 의도와 능력이 있는지에 대한 증거를 검토하고, 필요한 경우 이에 대한 </t>
    </r>
    <phoneticPr fontId="3" type="noConversion"/>
  </si>
  <si>
    <t xml:space="preserve">    경영자의 진술을 입수하라.</t>
    <phoneticPr fontId="3" type="noConversion"/>
  </si>
  <si>
    <t>유가증권의 분류변경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</si>
  <si>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유가증권과목의 분류변경이 있는 경우 그 내용 및 이유를 검토하고, 분류변경 유가증권 처분시 회계처리의 적정성을 검토한다.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</si>
  <si>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만기보유증권의 만기일 이전 매도 또는 분류변경한 경우 그 이유 및 관련 실현손익 또는 미실현보유손익을 검토한다</t>
    </r>
    <phoneticPr fontId="3" type="noConversion"/>
  </si>
  <si>
    <t>유가증권의 평가</t>
    <phoneticPr fontId="3" type="noConversion"/>
  </si>
  <si>
    <t>유가증권평가방법의 계속적 적용여부와 기업회계기준서에 의해 적정히 평가되었는지 검토한다.</t>
    <phoneticPr fontId="3" type="noConversion"/>
  </si>
  <si>
    <t>V, M, PD</t>
  </si>
  <si>
    <t xml:space="preserve">    시장성이 없는 지분증권의 공정가액을 신뢰성 있게 측정할 수 없는 경우 취득원가로 평가)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</si>
  <si>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단기매매증권과 매도가능증권의 공정가액 측정방법과 공정가액 추정상의 주요 전제조건을 검토한다. (단, 매도가능증권 중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</si>
  <si>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단기매매증권과 매도가능증권의 공정가액을 측정할 수 없는 경우 그 이유와 내용을 검토한다.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</si>
  <si>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유가증권 평가손익이 기타포괄손익누계액 또는 당기손익에 적절히 반영되었는지 검토한다.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</si>
  <si>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매도가능증권의 미실현보유손익의 변동내용과 처분에 따른 실현손익의 내용을 검토한다.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</si>
  <si>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만기보유증권의 취득원가와 만기액면가액과의 차이를 상환기간에 걸쳐 유효이자율법에 의하여 상각하고, 이를 취득원가와</t>
    </r>
    <phoneticPr fontId="3" type="noConversion"/>
  </si>
  <si>
    <t xml:space="preserve">    이자수익에 가감하고 있는지 확인하라.</t>
    <phoneticPr fontId="3" type="noConversion"/>
  </si>
  <si>
    <t>지분법 평가</t>
    <phoneticPr fontId="3" type="noConversion"/>
  </si>
  <si>
    <t xml:space="preserve">    에 따라 피투자회사 재무제표의 신뢰성을 검토한 절차를 수행하였는지 검토한다.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</si>
  <si>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투자주식중 지분율 등을 확인하여 중대한 영향력을 행사하는지 여부를 확인한다.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</si>
  <si>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연결재무제표 작성대상여부를 확인한다.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</si>
  <si>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지분법 평가와 관련 회계처리에 대하여 기업회계기준서 제15호(지분법)에 따라 처리하고 있는지 확인하고, 가결산 재무제표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</si>
  <si>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중대한 영향력 행사범위를 검토한다.(실무의견서2007-4참조)</t>
    </r>
    <phoneticPr fontId="3" type="noConversion"/>
  </si>
  <si>
    <t>유가증권의 감액손실 및 회복</t>
    <phoneticPr fontId="3" type="noConversion"/>
  </si>
  <si>
    <t>E, PD</t>
  </si>
  <si>
    <t>E, V</t>
  </si>
  <si>
    <t>배당금 및 수입이자</t>
    <phoneticPr fontId="3" type="noConversion"/>
  </si>
  <si>
    <t>매매거래로 보지 아니하는 매도가능증권의 경쟁제한적 자전거래 유무를 검토한다.</t>
    <phoneticPr fontId="3" type="noConversion"/>
  </si>
  <si>
    <t>대차대조표일을 전후한 유가증권 취득 및 처분과 환매조건부 매각에 의한 매각익의 계상등 결산조작의 가능성을 검토한다.</t>
    <phoneticPr fontId="3" type="noConversion"/>
  </si>
  <si>
    <t>특수관계자와의 거래의 경우 유가증권의 취득 및 처분가액의 적정성을 확인한다.</t>
    <phoneticPr fontId="3" type="noConversion"/>
  </si>
  <si>
    <t>14.</t>
    <phoneticPr fontId="3" type="noConversion"/>
  </si>
  <si>
    <t>투자일임계약자산 및 신탁업법에 의한 신탁상품의 회계처리의 적정성을 검토한다.</t>
    <phoneticPr fontId="3" type="noConversion"/>
  </si>
  <si>
    <t>15.</t>
    <phoneticPr fontId="3" type="noConversion"/>
  </si>
  <si>
    <t>재무제표 공시사항(공시사항 점검표 참조)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</si>
  <si>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감액손실이 발생하였다는 객관적인 증거를 확인하여 감액손실 대상 유가증권을 평가하고 당기손익 반영여부를 검토한다.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</si>
  <si>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감액손실이 회복된 경우 관련 회계처리를 검토한다.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</si>
  <si>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감액손실을 인식한 채무증권에 대한 미수이자금액을 검토한다. 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</si>
  <si>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배당금 및 수입이자가 적정하게 계상되었는지 여부와 무상주 배당의 회계처리를 검토한다.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</si>
  <si>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유가증권과 관련된 총 이자수익 금액을 검토한다.</t>
    </r>
    <phoneticPr fontId="3" type="noConversion"/>
  </si>
  <si>
    <t>16.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</si>
  <si>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유가증권 분류 관련 주석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</si>
  <si>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유가증권 분류변경 관련 주석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</si>
  <si>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공정가액 관련 주석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</si>
  <si>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지분법 관련 주석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</si>
  <si>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감액손실 관련 주석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</si>
  <si>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유가증권의 원가 결정 방법(주석)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</si>
  <si>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유가증권을 통합표시한 경우 구분내용(주석)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</si>
  <si>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유가증권 관련 총 이자수익 금액(주석)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</si>
  <si>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유가증권 양도와 관련한 재매수계약의 내용(주석)</t>
    </r>
    <phoneticPr fontId="3" type="noConversion"/>
  </si>
  <si>
    <r>
      <rPr>
        <sz val="10"/>
        <rFont val="맑은 고딕"/>
        <family val="3"/>
        <charset val="129"/>
      </rPr>
      <t>⑩</t>
    </r>
    <r>
      <rPr>
        <sz val="10"/>
        <rFont val="맑은 고딕"/>
        <family val="3"/>
        <charset val="129"/>
        <scheme val="major"/>
      </rPr>
      <t xml:space="preserve"> 담보로 제공한 유가증권의 내용(주석)</t>
    </r>
    <phoneticPr fontId="3" type="noConversion"/>
  </si>
  <si>
    <r>
      <t>⑪</t>
    </r>
    <r>
      <rPr>
        <sz val="10"/>
        <rFont val="맑은 고딕"/>
        <family val="3"/>
        <charset val="129"/>
        <scheme val="major"/>
      </rPr>
      <t xml:space="preserve"> 매도가능증권의 자전거래 내역(주석)</t>
    </r>
    <phoneticPr fontId="3" type="noConversion"/>
  </si>
  <si>
    <r>
      <t>⑫</t>
    </r>
    <r>
      <rPr>
        <sz val="10"/>
        <rFont val="맑은 고딕"/>
        <family val="3"/>
        <charset val="129"/>
        <scheme val="major"/>
      </rPr>
      <t xml:space="preserve"> 투자일임계약자산의 내역과 공정가액(주석)</t>
    </r>
    <phoneticPr fontId="3" type="noConversion"/>
  </si>
  <si>
    <r>
      <rPr>
        <sz val="10"/>
        <rFont val="맑은 고딕"/>
        <family val="3"/>
        <charset val="129"/>
      </rPr>
      <t>⑬</t>
    </r>
    <r>
      <rPr>
        <sz val="10"/>
        <rFont val="맑은 고딕"/>
        <family val="3"/>
        <charset val="129"/>
        <scheme val="major"/>
      </rPr>
      <t xml:space="preserve"> 특수관계자와의 거래내용(주석)</t>
    </r>
    <phoneticPr fontId="3" type="noConversion"/>
  </si>
  <si>
    <t>거래처별 매출채권명세서(받을어음의 경우 발행처, 만기일, 할인 및 배서여부등을 포함)를 입수하여 금액을 계산검증하고 받을</t>
    <phoneticPr fontId="3" type="noConversion"/>
  </si>
  <si>
    <t>어음보조원장, 외상매출금보조원장 등의 보조부와 대조 확인한다.</t>
    <phoneticPr fontId="3" type="noConversion"/>
  </si>
  <si>
    <t>보관중인 받을어음은 실사하고 타처보관중인 받을어음은 보관자에게 직접조회하거나 결산일후의 회수 상황을 확인한다.</t>
  </si>
  <si>
    <t>E, RO, V</t>
  </si>
  <si>
    <t xml:space="preserve">외상매출금의 잔액에 대해 다음 사항을 반영한 직접조회를 실시하여 회신결과를 대조확인하고 차이가 있는 경우 차이를 </t>
    <phoneticPr fontId="3" type="noConversion"/>
  </si>
  <si>
    <t>분석한다.</t>
    <phoneticPr fontId="3" type="noConversion"/>
  </si>
  <si>
    <t xml:space="preserve">    적절한 대체절차를 실시한다.</t>
    <phoneticPr fontId="3" type="noConversion"/>
  </si>
  <si>
    <t xml:space="preserve">매출채권 명세서를 검토하여 일반적 상거래 이외에서 발생된 채권의 포함여부를 조사하여 계정과목 재분류 여부를 결정하고, </t>
    <phoneticPr fontId="3" type="noConversion"/>
  </si>
  <si>
    <t>장단기 구분의 적정성을 검토한다.</t>
    <phoneticPr fontId="3" type="noConversion"/>
  </si>
  <si>
    <t>V, PD</t>
  </si>
  <si>
    <t>RO, V</t>
  </si>
  <si>
    <t>RO, PD</t>
  </si>
  <si>
    <t>V</t>
    <phoneticPr fontId="3" type="noConversion"/>
  </si>
  <si>
    <t>매출채권중 채권조정이 있는 경우 그 회계처리의 적정성을 검토한다.</t>
  </si>
  <si>
    <t>관계회사, 주주, 임원 및 종업원에 대한 매출채권의 내용을 조사하여 비정상적인 거래인지의 여부를 검토한다.</t>
  </si>
  <si>
    <t>매출채권 총괄표 작성</t>
    <phoneticPr fontId="3" type="noConversion"/>
  </si>
  <si>
    <t>매출채권명세서</t>
    <phoneticPr fontId="3" type="noConversion"/>
  </si>
  <si>
    <t>받을어음의 실사</t>
    <phoneticPr fontId="3" type="noConversion"/>
  </si>
  <si>
    <t>외상매출금 잔액조회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</si>
  <si>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잔액확인 거래처의 선정은 중요성 및 금액적 범위를 고려하여 선정한다.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</si>
  <si>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지배종속관계인 거래처에는 중요성이 없는 경우를 제외하고 반드시 잔액확인을 한다.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</si>
  <si>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잔액확인의뢰에 답변이 없는 거래처에 대하여 2차 조회를 보내고, 2차 조회에 미답변 거래처수 및 금액이 중요한 경우 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</si>
  <si>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외상매출금계정의 잔액확인을 실시하지 않은 경우, 그 정당성에 대한 사유를 기재한다. </t>
    </r>
    <phoneticPr fontId="3" type="noConversion"/>
  </si>
  <si>
    <t xml:space="preserve">① 거래처별로 매출채권잔액 연령분석표를 입수하여 계산검증하고, 적당한 수의 거래처를 선택하여 보조부와 대사한다. 당기 </t>
    <phoneticPr fontId="3" type="noConversion"/>
  </si>
  <si>
    <t>② 회수기간분석등 분석적검토를 실시한다.</t>
    <phoneticPr fontId="3" type="noConversion"/>
  </si>
  <si>
    <t>③ 매출채권의 회수가능성에 대하여 경영자와 토의하고 거래처와의 왕복문서등을 검토한다.</t>
    <phoneticPr fontId="3" type="noConversion"/>
  </si>
  <si>
    <t>④ 회수가능성에 의문이 있는 계정에 대하여 회수의 지연이유 및 상대거래처의 재무상태분석 등의 감사절차를 수행한다.</t>
    <phoneticPr fontId="3" type="noConversion"/>
  </si>
  <si>
    <t xml:space="preserve">    순매출액에 대한 매출채권의 비율을 전기와 비교하고, 당기의 경제상황, 신용정책, 회수가능성과 관련하여 당기비율의 </t>
    <phoneticPr fontId="3" type="noConversion"/>
  </si>
  <si>
    <t xml:space="preserve">    합리성을 검토한다.</t>
    <phoneticPr fontId="3" type="noConversion"/>
  </si>
  <si>
    <t xml:space="preserve">    당기 매출채권 회전율과 회수기일을 전기와 비교하고, 당기의 경제상황, 신용정책, 회수가능성과 관련하여 당기비율 및 </t>
    <phoneticPr fontId="3" type="noConversion"/>
  </si>
  <si>
    <t xml:space="preserve">    기일의 합리성을 검토한다.</t>
    <phoneticPr fontId="3" type="noConversion"/>
  </si>
  <si>
    <t>⑤ 기한연장어음, 장기영업채권, 영업채권에서 비영업채권으로 변경한 잔액 등의 이상항목에 대하여 회수가능성을 개별적으로</t>
    <phoneticPr fontId="3" type="noConversion"/>
  </si>
  <si>
    <t xml:space="preserve">    검증한다.</t>
    <phoneticPr fontId="3" type="noConversion"/>
  </si>
  <si>
    <t>⑥ 받을어음 및 외상매출금에 대한 담보가 있는 경우, 당해 담보의 실재성, 소유권, 시가를 검증한다.</t>
    <phoneticPr fontId="3" type="noConversion"/>
  </si>
  <si>
    <t xml:space="preserve">⑦ 기말채권에 대하여 합리적이고 객관적인 대손추계액 산정기준(개별적방법 또는 과거의 대손경험율에 의한 방법 등)에 </t>
    <phoneticPr fontId="3" type="noConversion"/>
  </si>
  <si>
    <t xml:space="preserve">    의하여 대손충당금이 설정되어 있으며, 동기준이 계속적으로 적용되고 있는지 확인하고, 매출채권 및 매출액에 대한 당기의</t>
    <phoneticPr fontId="3" type="noConversion"/>
  </si>
  <si>
    <t xml:space="preserve">    대손상각 및 대손충당금 비율을 전기의 비율과 비교한다, 그리고, 현재 경제상황에 비추어 대손상각 및 대손충당금 비율의</t>
    <phoneticPr fontId="3" type="noConversion"/>
  </si>
  <si>
    <t xml:space="preserve">    추세를 분석한다.</t>
    <phoneticPr fontId="3" type="noConversion"/>
  </si>
  <si>
    <t>대차대조표일을 전후한 제품인도 및 용역제공이 해당기간에 적절히 반영되었는지를 검토하고 대차대조표일 이전 판매와 관련된</t>
    <phoneticPr fontId="3" type="noConversion"/>
  </si>
  <si>
    <t>반품 및 고객의 클레임에 대한 수정이 대차대조표일 현재 적절히 처리되었는지를 확인한다.</t>
    <phoneticPr fontId="3" type="noConversion"/>
  </si>
  <si>
    <t>당해연도 12월 및 차기연도 1월의 매출장을 입수하여 대차대조표일 전후 2주일간의 매출거래를 대상으로 하여 금액이 1/2TE 이상</t>
    <phoneticPr fontId="3" type="noConversion"/>
  </si>
  <si>
    <t xml:space="preserve">인 거래에 대하여 매출계산서, 거래명세서, 선적서류 등을 조사하여 동 매출거래의 기간귀속의 적정성을 테스트하여 매출채권의 </t>
    <phoneticPr fontId="3" type="noConversion"/>
  </si>
  <si>
    <t>기간귀속을 확인한다.</t>
    <phoneticPr fontId="3" type="noConversion"/>
  </si>
  <si>
    <t>① 매출채권중 할인했거나, 배서양도, 팩토링 및 담보제공한 금액에 대해서는 그 명세를 얻어서 그 회계처리를 검토하고 필요한</t>
    <phoneticPr fontId="3" type="noConversion"/>
  </si>
  <si>
    <t xml:space="preserve">    경우에는 조회서등에 의하여 잔액을 확인한다.(해석52-14 참조)</t>
    <phoneticPr fontId="3" type="noConversion"/>
  </si>
  <si>
    <t>② 기말현재 배서양도, 할인어음중 만기미도래분에 대한 금액을 파악하여 우발부채와 연결 검토한다.</t>
    <phoneticPr fontId="3" type="noConversion"/>
  </si>
  <si>
    <t>현재가치에 의한 평가의 적정성</t>
    <phoneticPr fontId="3" type="noConversion"/>
  </si>
  <si>
    <t xml:space="preserve">매출채권중 현재가치에 의한 평가사항이 있는 경우 동 평가액과 동 할인차금의 계산이 적정한지 검증하고, 관련손익계정에 </t>
    <phoneticPr fontId="3" type="noConversion"/>
  </si>
  <si>
    <t>반영되었는지 확인한다.(해석25-66 참조)</t>
    <phoneticPr fontId="3" type="noConversion"/>
  </si>
  <si>
    <t>채권조정의 적정성</t>
    <phoneticPr fontId="3" type="noConversion"/>
  </si>
  <si>
    <t>외화표시 매출채권의 환산내용을 검토한다.</t>
    <phoneticPr fontId="3" type="noConversion"/>
  </si>
  <si>
    <t>특수관계자와의 거래</t>
    <phoneticPr fontId="3" type="noConversion"/>
  </si>
  <si>
    <t>재무제표 표시사항의 적정성 검토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</si>
  <si>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1년이후 수취할 금액의 재분류(예 : 장기성 매출채권)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</si>
  <si>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일반적 상거래에서 발생하지 아니한 채권의 재분류(예 : 미수금)</t>
    </r>
    <phoneticPr fontId="3" type="noConversion"/>
  </si>
  <si>
    <t>관세환급(수입부과금환급금, 특소세등) 미수금의 검토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</si>
  <si>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전기와 비교하여 물량 및 단가에 중요한 변화 있는지 확인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</si>
  <si>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관세환급등 미수금 설정내역을 입수하여 미수금이 합리적으로 설정되었는지 검토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</si>
  <si>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기중에 입금된 관세환급금등 내역을 입수하여 미수금 기설정금액과 차이가 있는지 검토</t>
    </r>
    <phoneticPr fontId="3" type="noConversion"/>
  </si>
  <si>
    <t>① 대손충당금의 설정기준(주석)</t>
    <phoneticPr fontId="3" type="noConversion"/>
  </si>
  <si>
    <t>② 매출채권의 양도와 할인에 관한 내용(주석)</t>
    <phoneticPr fontId="3" type="noConversion"/>
  </si>
  <si>
    <t>③ 담보제공된 매출채권(주석)</t>
    <phoneticPr fontId="3" type="noConversion"/>
  </si>
  <si>
    <t>④ 대손충당금을 일괄표시하는 경우 그 내용(주석)</t>
    <phoneticPr fontId="3" type="noConversion"/>
  </si>
  <si>
    <t>⑤ 장기성 매출채권의 현재가치 평가에 관한 내용(주석)</t>
    <phoneticPr fontId="3" type="noConversion"/>
  </si>
  <si>
    <t>⑥ 채권조정이 있은 경우 채권조정에 관한 내용(주석)</t>
    <phoneticPr fontId="3" type="noConversion"/>
  </si>
  <si>
    <t>⑦ 외화채권의 환산기준과 환산손익의 내용(주석)</t>
    <phoneticPr fontId="3" type="noConversion"/>
  </si>
  <si>
    <t>⑧ 특수관계자와의 거래내용(주석)</t>
    <phoneticPr fontId="3" type="noConversion"/>
  </si>
  <si>
    <t>회사명</t>
    <phoneticPr fontId="5" type="noConversion"/>
  </si>
  <si>
    <t>기수</t>
    <phoneticPr fontId="5" type="noConversion"/>
  </si>
  <si>
    <t>회계연도</t>
    <phoneticPr fontId="5" type="noConversion"/>
  </si>
  <si>
    <t>감사철수일</t>
    <phoneticPr fontId="5" type="noConversion"/>
  </si>
  <si>
    <t>Index</t>
    <phoneticPr fontId="5" type="noConversion"/>
  </si>
  <si>
    <t>총괄</t>
    <phoneticPr fontId="5" type="noConversion"/>
  </si>
  <si>
    <t>F</t>
    <phoneticPr fontId="5" type="noConversion"/>
  </si>
  <si>
    <t>현금/예금</t>
    <phoneticPr fontId="5" type="noConversion"/>
  </si>
  <si>
    <t>A</t>
    <phoneticPr fontId="5" type="noConversion"/>
  </si>
  <si>
    <t>유가증권 및 투자유가증권</t>
    <phoneticPr fontId="5" type="noConversion"/>
  </si>
  <si>
    <t>B</t>
    <phoneticPr fontId="5" type="noConversion"/>
  </si>
  <si>
    <t>매출채권</t>
    <phoneticPr fontId="5" type="noConversion"/>
  </si>
  <si>
    <t>C</t>
    <phoneticPr fontId="5" type="noConversion"/>
  </si>
  <si>
    <t>매출</t>
    <phoneticPr fontId="5" type="noConversion"/>
  </si>
  <si>
    <t>P</t>
    <phoneticPr fontId="7" type="noConversion"/>
  </si>
  <si>
    <t>기타당좌자산</t>
    <phoneticPr fontId="5" type="noConversion"/>
  </si>
  <si>
    <t>D</t>
    <phoneticPr fontId="5" type="noConversion"/>
  </si>
  <si>
    <t xml:space="preserve">재고자산 </t>
    <phoneticPr fontId="5" type="noConversion"/>
  </si>
  <si>
    <t>E</t>
    <phoneticPr fontId="5" type="noConversion"/>
  </si>
  <si>
    <t>매출원가</t>
    <phoneticPr fontId="5" type="noConversion"/>
  </si>
  <si>
    <t>Q</t>
    <phoneticPr fontId="7" type="noConversion"/>
  </si>
  <si>
    <t>투자자산</t>
    <phoneticPr fontId="5" type="noConversion"/>
  </si>
  <si>
    <t>유형자산</t>
    <phoneticPr fontId="5" type="noConversion"/>
  </si>
  <si>
    <t>G</t>
    <phoneticPr fontId="5" type="noConversion"/>
  </si>
  <si>
    <t>무형자산</t>
    <phoneticPr fontId="5" type="noConversion"/>
  </si>
  <si>
    <t>H</t>
    <phoneticPr fontId="5" type="noConversion"/>
  </si>
  <si>
    <t>기타비유동자산</t>
    <phoneticPr fontId="7" type="noConversion"/>
  </si>
  <si>
    <t>I</t>
    <phoneticPr fontId="7" type="noConversion"/>
  </si>
  <si>
    <t>매입채무</t>
    <phoneticPr fontId="5" type="noConversion"/>
  </si>
  <si>
    <t>AA</t>
    <phoneticPr fontId="5" type="noConversion"/>
  </si>
  <si>
    <t>차입금</t>
    <phoneticPr fontId="5" type="noConversion"/>
  </si>
  <si>
    <t>BB</t>
    <phoneticPr fontId="5" type="noConversion"/>
  </si>
  <si>
    <t>기타유동부채</t>
    <phoneticPr fontId="5" type="noConversion"/>
  </si>
  <si>
    <t>CC</t>
    <phoneticPr fontId="5" type="noConversion"/>
  </si>
  <si>
    <t>급여 / 퇴직급여충당금</t>
    <phoneticPr fontId="5" type="noConversion"/>
  </si>
  <si>
    <t>제충당부채, 기타비유동부채</t>
    <phoneticPr fontId="7" type="noConversion"/>
  </si>
  <si>
    <t>FF</t>
    <phoneticPr fontId="7" type="noConversion"/>
  </si>
  <si>
    <t>부외부채</t>
    <phoneticPr fontId="7" type="noConversion"/>
  </si>
  <si>
    <t>TUL</t>
    <phoneticPr fontId="7" type="noConversion"/>
  </si>
  <si>
    <t>자본</t>
    <phoneticPr fontId="5" type="noConversion"/>
  </si>
  <si>
    <t>GG</t>
    <phoneticPr fontId="5" type="noConversion"/>
  </si>
  <si>
    <t>판매비와관리비</t>
    <phoneticPr fontId="5" type="noConversion"/>
  </si>
  <si>
    <t>R</t>
    <phoneticPr fontId="7" type="noConversion"/>
  </si>
  <si>
    <t>영업외수익(비용)</t>
    <phoneticPr fontId="5" type="noConversion"/>
  </si>
  <si>
    <t>S</t>
    <phoneticPr fontId="7" type="noConversion"/>
  </si>
  <si>
    <t>이연법인세/법인세비용</t>
    <phoneticPr fontId="5" type="noConversion"/>
  </si>
  <si>
    <t>T</t>
    <phoneticPr fontId="7" type="noConversion"/>
  </si>
  <si>
    <t>중단사업손익</t>
    <phoneticPr fontId="5" type="noConversion"/>
  </si>
  <si>
    <t>U</t>
    <phoneticPr fontId="7" type="noConversion"/>
  </si>
  <si>
    <t>우발채무 및 약정사항</t>
    <phoneticPr fontId="7" type="noConversion"/>
  </si>
  <si>
    <t>CL</t>
    <phoneticPr fontId="7" type="noConversion"/>
  </si>
  <si>
    <t>파생상품</t>
    <phoneticPr fontId="7" type="noConversion"/>
  </si>
  <si>
    <t>DER</t>
    <phoneticPr fontId="7" type="noConversion"/>
  </si>
  <si>
    <t>정보시스템조직의 회계관리 입출력</t>
    <phoneticPr fontId="7" type="noConversion"/>
  </si>
  <si>
    <t>IOC</t>
    <phoneticPr fontId="7" type="noConversion"/>
  </si>
  <si>
    <t>검토인</t>
    <phoneticPr fontId="3" type="noConversion"/>
  </si>
  <si>
    <t>검토일</t>
    <phoneticPr fontId="3" type="noConversion"/>
  </si>
  <si>
    <t>기타 당좌자산 각 계정별 명세서를 입수하여 금액의 계산검증 및 보조부와 대조 확인한다.</t>
  </si>
  <si>
    <t>중요한 항목 및 금액에 대하여는 직접 조회 확인한다.</t>
  </si>
  <si>
    <t>V, M</t>
    <phoneticPr fontId="3" type="noConversion"/>
  </si>
  <si>
    <t>RO, V, M</t>
    <phoneticPr fontId="3" type="noConversion"/>
  </si>
  <si>
    <t>회수불능채권의 대손처리여부를 확인하고, 대손충당금의 설정이 적정한지의 여부와 전년과 동일한 기준의 적용여부를 검토한다.</t>
  </si>
  <si>
    <t>특수관계자와의 거래유무와 그 정당성 및 회계처리와 재무제표 표시의 적정성을 검토한다.</t>
  </si>
  <si>
    <t>E, PD</t>
    <phoneticPr fontId="3" type="noConversion"/>
  </si>
  <si>
    <t>V, PD</t>
    <phoneticPr fontId="3" type="noConversion"/>
  </si>
  <si>
    <t>선물 등의 거래유무를 확인하고 그 계약이나 매매에 의하여 발생된 자산, 부채의 처리내용과 동 거래로 인한 손익의 인식이나</t>
    <phoneticPr fontId="3" type="noConversion"/>
  </si>
  <si>
    <t>처리가 적정한지를 DER ‘파생상품’과 연계하여 검토한다. (해석 53-70 참조)</t>
    <phoneticPr fontId="3" type="noConversion"/>
  </si>
  <si>
    <t>E, RO</t>
    <phoneticPr fontId="3" type="noConversion"/>
  </si>
  <si>
    <t>피감사회사로부터 보험가입현황을 입수하고, 동 내역의 적정성을 확인하기 위하여 보험증서 등의 증빙을 검토하거나 필요한</t>
    <phoneticPr fontId="3" type="noConversion"/>
  </si>
  <si>
    <t>경우 조회를 실시하라.</t>
    <phoneticPr fontId="3" type="noConversion"/>
  </si>
  <si>
    <t>기타당좌자산 총괄표 작성</t>
    <phoneticPr fontId="3" type="noConversion"/>
  </si>
  <si>
    <t>각 계정별 명세서</t>
    <phoneticPr fontId="3" type="noConversion"/>
  </si>
  <si>
    <t>조회확인</t>
    <phoneticPr fontId="3" type="noConversion"/>
  </si>
  <si>
    <t>중요한 항목 및 금액에 대하여 관련증빙을 대조확인한다.</t>
    <phoneticPr fontId="3" type="noConversion"/>
  </si>
  <si>
    <t>기간계산에 의하여 인식되는 중요한 항목에 대하여는 기간계산의 적정성을 검증한다.</t>
    <phoneticPr fontId="3" type="noConversion"/>
  </si>
  <si>
    <t>회수가능성 및 대손충당금의 적정성</t>
    <phoneticPr fontId="3" type="noConversion"/>
  </si>
  <si>
    <t>외화표시자산의 환산 및 구분계산의 적정성을 검토한다.</t>
    <phoneticPr fontId="3" type="noConversion"/>
  </si>
  <si>
    <t>선물등 파생상품거래유무</t>
    <phoneticPr fontId="3" type="noConversion"/>
  </si>
  <si>
    <t>각종 보험관련거래의 적정성 검토</t>
    <phoneticPr fontId="3" type="noConversion"/>
  </si>
  <si>
    <t>① 특수관계자와의 거래내용(주석)</t>
    <phoneticPr fontId="3" type="noConversion"/>
  </si>
  <si>
    <t>② 외화채권의 환산기준과 환산손익의 내용(주석)</t>
    <phoneticPr fontId="3" type="noConversion"/>
  </si>
  <si>
    <t>③ 담보제공자산(주석)</t>
    <phoneticPr fontId="3" type="noConversion"/>
  </si>
  <si>
    <t>④ 파생상품과 관련된 주석사항 (해석 53-70 참조)</t>
    <phoneticPr fontId="3" type="noConversion"/>
  </si>
  <si>
    <t>재고자산명세서를 입수하여 명세서의 내용을 계산검증하고 보조부와 대조확인한다.</t>
  </si>
  <si>
    <t>E, RO, V</t>
    <phoneticPr fontId="3" type="noConversion"/>
  </si>
  <si>
    <t>E, C</t>
    <phoneticPr fontId="3" type="noConversion"/>
  </si>
  <si>
    <t>RO, V</t>
    <phoneticPr fontId="3" type="noConversion"/>
  </si>
  <si>
    <t>E</t>
    <phoneticPr fontId="3" type="noConversion"/>
  </si>
  <si>
    <t>RO, C</t>
    <phoneticPr fontId="3" type="noConversion"/>
  </si>
  <si>
    <t>RO</t>
    <phoneticPr fontId="3" type="noConversion"/>
  </si>
  <si>
    <t>재고자산 총괄표의 작성</t>
    <phoneticPr fontId="3" type="noConversion"/>
  </si>
  <si>
    <t>재고자산명세서</t>
    <phoneticPr fontId="3" type="noConversion"/>
  </si>
  <si>
    <t>기말재고자산 실사 입회 및 후속절차</t>
    <phoneticPr fontId="3" type="noConversion"/>
  </si>
  <si>
    <t>분석적 검토(전기와 당기의 비교)</t>
    <phoneticPr fontId="3" type="noConversion"/>
  </si>
  <si>
    <t>재고자산의 평가</t>
    <phoneticPr fontId="3" type="noConversion"/>
  </si>
  <si>
    <t>특수관계자와의 거래 및 내부거래의 타당성</t>
    <phoneticPr fontId="3" type="noConversion"/>
  </si>
  <si>
    <t>장래의 매입계약, 혹은 판매계약 중에 계약이행에 의한 손실이 발생할 우려가 있는 것이 포함되어 있지 않은가를 검토</t>
    <phoneticPr fontId="3" type="noConversion"/>
  </si>
  <si>
    <t>원재료에서 재공품으로, 재공품에서 제품으로의 대체의 적정성을 검토'(출고일보, 생산일보 등을 상호대조)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</si>
  <si>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재고실사에 입회하고, 실사의 적정성을 확인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</si>
  <si>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회사로부터 재고자산집계표를 입수하여 집계가 정확한지 확인하고, 재고수불부상의 출고수량과 판매보고서상의 판매수량</t>
    </r>
    <phoneticPr fontId="3" type="noConversion"/>
  </si>
  <si>
    <t xml:space="preserve">    을 대조한다.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</si>
  <si>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감사인이 실사입회시 발췌 조사한 수량과 재고자산집계표의 수량과 연결하여 일치여부를 확인하고, 차이가 있는 경우 차이</t>
    </r>
    <phoneticPr fontId="3" type="noConversion"/>
  </si>
  <si>
    <t xml:space="preserve">    분석과 회계처리의 적정성 검토</t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</si>
  <si>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실사기준일 현재 파손, 감손 및 장기적체 재고를 파악하여 향후 판매계획등 피감사회사의 처리방안을 확인하고, 재고자산</t>
    </r>
    <phoneticPr fontId="3" type="noConversion"/>
  </si>
  <si>
    <t xml:space="preserve">    평가손실로 계상할 것인지 검토하라.</t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</si>
  <si>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실사입회일이 B/S일과 다를 경우 그 기간의 재고자산의 입․출고 내용을 추적하여 B/S일 현재의 재고수량을 파악하고 기간</t>
    </r>
    <phoneticPr fontId="3" type="noConversion"/>
  </si>
  <si>
    <t xml:space="preserve">    구분의 적정성을 확인</t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</si>
  <si>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재고조사일 전후의 재고자산의 입출고 사항을 검토하고 그 내용이 적절히 관계장부에 반영되었으며 기중과 비교하여 특별</t>
    </r>
    <phoneticPr fontId="3" type="noConversion"/>
  </si>
  <si>
    <t xml:space="preserve">    한 변동사항이 없는지 확인하고, 결산일 전후 일정기간의 출고증, 판매지시서, 출하일보 등을 매출장, 외상매출금 또는 현금</t>
    <phoneticPr fontId="3" type="noConversion"/>
  </si>
  <si>
    <t xml:space="preserve">    출납부와 대조확인하고, 결산일 전후 일정기간의 주문서, 검수보고서를 입수하여 외상매입금 또는 현금출납부와 대조 확인</t>
    <phoneticPr fontId="3" type="noConversion"/>
  </si>
  <si>
    <t xml:space="preserve">    하여 Cut off test함.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</si>
  <si>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매출액 또는 총자산 대비 재고자산비율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</si>
  <si>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재고자산증감율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</si>
  <si>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매출수량, 생산수량, 매출원가에 대한 재고자산회전율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</si>
  <si>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구입재고일 경우 재고수불부상의 단가와 일치하고 있는지 적당량을 발췌하여 파악하고 평가방법이 계속적으로 적용되고 </t>
    </r>
    <phoneticPr fontId="3" type="noConversion"/>
  </si>
  <si>
    <t xml:space="preserve">    있는지 검토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</si>
  <si>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원가계산에 의해 산출된 단가일 경우 원가계산서류를 입수하여 전기와의 계속성과 그 계산의 논리성을 검토하고, 품목별로</t>
    </r>
    <phoneticPr fontId="3" type="noConversion"/>
  </si>
  <si>
    <t xml:space="preserve">    단위당 원가를 전기의 단가와 비교하고 중요한 변화가 있거나 비정상적인 재고단가변동에 대하여 조사한다.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</si>
  <si>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파손품, 진부화품 및 장기체화재고에 대한 평가의 적정성여부와 장부에 반영되었는지 확인하고, 보유재고량과 구매약정 </t>
    </r>
    <phoneticPr fontId="3" type="noConversion"/>
  </si>
  <si>
    <t xml:space="preserve">    되어있는 재고량 전체를 예측된 매출 또는 미래의 생산에 소요되는 재고수량과 비교한다. 또한 당기의 잉여 및 진부화 재고,</t>
    <phoneticPr fontId="3" type="noConversion"/>
  </si>
  <si>
    <t xml:space="preserve">    폐기재고원가가 전체 재고 및 매출원가에서 차지하는 비율을 전기와 비교하고 피감사회사의 잉여 또는 진부화 경험을 </t>
    <phoneticPr fontId="3" type="noConversion"/>
  </si>
  <si>
    <t xml:space="preserve">    동종업계와 대비한다.</t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</si>
  <si>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평가방법의 변경이 있을 때는 변경에 의한 금액적 차이의 파악 및 변경타당성 여부를 검토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</si>
  <si>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평가방법이 세무신고 내용과의 일치여부를 검토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</si>
  <si>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재고자산의 취득원가에 포함시킨 이자비용의 적정성을 검토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</si>
  <si>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재고자산의 순실현가능가액에 대한 타당성을 검토한 후 취득원가와 대비하고, 순실현가능가액이 취득원가보다 하락한 경우</t>
    </r>
    <phoneticPr fontId="3" type="noConversion"/>
  </si>
  <si>
    <t xml:space="preserve">    취득원가가 적절히 감액처리되었는지 검토하고 저가법평가시 충당금설정의 적정성과 매출원가에 반영여부를 검토한다.</t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</si>
  <si>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재고자산의 장부수량과 실제수량과의 차이에서 발생하는 감모손실이 적절하게 회계처리되었는지 검토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</si>
  <si>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피감사회사가 표준원가계산방법을 적용하고 있는 경우 중요한 차이가 발생하는 계정에 대하여 조사하라. 이러한 차이를 </t>
    </r>
    <phoneticPr fontId="3" type="noConversion"/>
  </si>
  <si>
    <t xml:space="preserve">    매출원가 재고자산에 배분하는데 대한 합리성을 검토하라.</t>
    <phoneticPr fontId="3" type="noConversion"/>
  </si>
  <si>
    <r>
      <t>⑩</t>
    </r>
    <r>
      <rPr>
        <sz val="10"/>
        <rFont val="맑은 고딕"/>
        <family val="3"/>
        <charset val="129"/>
        <scheme val="major"/>
      </rPr>
      <t xml:space="preserve"> 재고실사집계표와 총계정원장 또는 재고자산수불부와의 조정과정을 검토하라. 거액의 비정상적인 차이가 발생할 경우 </t>
    </r>
    <phoneticPr fontId="3" type="noConversion"/>
  </si>
  <si>
    <t xml:space="preserve">    그 원인을 조사하라.</t>
    <phoneticPr fontId="3" type="noConversion"/>
  </si>
  <si>
    <t>① 관계회사등 특수관계인과의 거래유무를 파악하고 거래가격의 타당성(부당한 고가 또는 저가)을 파악</t>
    <phoneticPr fontId="3" type="noConversion"/>
  </si>
  <si>
    <t>② 본지점등의 내부거래가 있을 경우 내부이익의 계산방법을 파악하고 내부이익의 제거여부를 확인</t>
    <phoneticPr fontId="3" type="noConversion"/>
  </si>
  <si>
    <t>결산일 현재 미착품 명세를 입수하여 당해 회계연도에 발생한 원가가 적절히 계상되었는지 여부를 확인한다. 미착품중 주요한 건</t>
    <phoneticPr fontId="3" type="noConversion"/>
  </si>
  <si>
    <t>에 대하여는 수입면장을 징구하여 장기간 대체하지 않고 있는지 검토하고 미착품에 계상된 품목의 단가와 원재료에 계상된 품목</t>
    <phoneticPr fontId="3" type="noConversion"/>
  </si>
  <si>
    <t>의 단가를 상호간 비교할 필요가 있다.</t>
    <phoneticPr fontId="3" type="noConversion"/>
  </si>
  <si>
    <t>담보제공 혹은 양도담보로된 재고자산의 유무를 확인한다. 재고자산에 대한 유치권, 저당권, 기타의 담보제공 등을 확인하기 위하</t>
    <phoneticPr fontId="3" type="noConversion"/>
  </si>
  <si>
    <t>여 회의록, 계약서 및 기타서류를 검토한다. 그리고 이에 대하여 필요한 공시를 확인한다.</t>
    <phoneticPr fontId="3" type="noConversion"/>
  </si>
  <si>
    <t>① 재고자산의 원가결정방법(주석)</t>
    <phoneticPr fontId="3" type="noConversion"/>
  </si>
  <si>
    <t>② 재고자산을 총액으로 보고한 경우 그 내용(주석)</t>
    <phoneticPr fontId="3" type="noConversion"/>
  </si>
  <si>
    <t>③ 재고자산의 저가법 적용기준 및 평가내용(주석)</t>
    <phoneticPr fontId="3" type="noConversion"/>
  </si>
  <si>
    <t>④ 담보로 제공한 재고자산의 종류와 금액(주석)</t>
    <phoneticPr fontId="3" type="noConversion"/>
  </si>
  <si>
    <t>⑤ 보험가입내용(주석)</t>
    <phoneticPr fontId="3" type="noConversion"/>
  </si>
  <si>
    <t>⑥ 후입선출법 적용의 경우 B/S가액과, 선입선출법 또는 평균법에 저가법을 적용하여 계산한 재고자산평가액과의 차이(주석)</t>
    <phoneticPr fontId="3" type="noConversion"/>
  </si>
  <si>
    <t>⑦ 재고자산의 취득원가에 산입된 금융비용내용(주석)</t>
    <phoneticPr fontId="3" type="noConversion"/>
  </si>
  <si>
    <t>⑧ 평가방법에 변경이 있을 경우 변경의 타당성과 재무제표에 미치는 영향(주석)</t>
    <phoneticPr fontId="3" type="noConversion"/>
  </si>
  <si>
    <t>⑨ 특수관계자와의 거래내용(주석)</t>
    <phoneticPr fontId="3" type="noConversion"/>
  </si>
  <si>
    <t>적 용</t>
    <phoneticPr fontId="3" type="noConversion"/>
  </si>
  <si>
    <t>미적용</t>
    <phoneticPr fontId="3" type="noConversion"/>
  </si>
  <si>
    <t>실사입회 이전에 다음 사항을 검토한다.</t>
  </si>
  <si>
    <t>① 재고실사일시 및 입회할 장소</t>
  </si>
  <si>
    <t>② 재고자산 종류별 위치와 회사의 실물재고조사방법</t>
  </si>
  <si>
    <t>③ 재고실사방법 및 기간구분에 관한 정보를 구체적으로 기술</t>
  </si>
  <si>
    <t>④ 감사인이 방문할 장소와 입회할 범위</t>
  </si>
  <si>
    <t>⑤ 공장가동의 중지 여부와 공장가동시의 재고자산이동 등 실사기간중의 재고자산 이동에 대한 통제절차를 문의</t>
  </si>
  <si>
    <t xml:space="preserve">    재고실사입회를 대차대조표일에 실시하지 않았던 재고 등에 대하여 필요에 따라 순환하여 재고실사의 입회를 실시할 것을</t>
    <phoneticPr fontId="3" type="noConversion"/>
  </si>
  <si>
    <t xml:space="preserve">    고려한다</t>
    <phoneticPr fontId="3" type="noConversion"/>
  </si>
  <si>
    <t xml:space="preserve">    '(금액이 큰 항목, 용기내의 재고측정방법, 재고자산의 용도, 온도 변화 등 특성에 따른 주의사항등)</t>
    <phoneticPr fontId="3" type="noConversion"/>
  </si>
  <si>
    <t xml:space="preserve">⑥ 타처 보관중인 재고자산과 회사가 보관중인 재고자산 유무를 문의하고 이러한 재고자산에 대한 실사와 조회확인 범위를 </t>
    <phoneticPr fontId="3" type="noConversion"/>
  </si>
  <si>
    <t xml:space="preserve">    검토(조회서 발송 준비를 미리 피 감사회사에 요청할 것)</t>
    <phoneticPr fontId="3" type="noConversion"/>
  </si>
  <si>
    <t>2. 재고실사입회시의 감사절차</t>
  </si>
  <si>
    <t>① 입고되는 재고자산</t>
  </si>
  <si>
    <t>② 출고되는 재고자산</t>
  </si>
  <si>
    <t>③ 내부이동</t>
  </si>
  <si>
    <t>① 실사가 책임자의 감독하에 이루어지고 있는가?</t>
  </si>
  <si>
    <t>② 재고자산 수량과 내용, 재공품의 내용등이 재고조사표나 재고명세에 명기되어 있는가?</t>
  </si>
  <si>
    <t>③ 수량결정방법은 적절한가?</t>
  </si>
  <si>
    <t>④ 직접 실사하기 곤란한 재고자산의 수량 결정을 위한 방법은 적정한가?</t>
  </si>
  <si>
    <t>⑤ 필요에 따라 실사담당자 이외의 자가 수량합계를 재검하는가?</t>
  </si>
  <si>
    <t>⑥ 위탁판매상품은 적절히 밝혀졌는가?</t>
  </si>
  <si>
    <t>⑦ 보유중인 모든 원재료와 제품등이 재고실사에 포함되었는가?</t>
  </si>
  <si>
    <t>⑧ 재고조사표나 목록은 관련자의 서명이 있고 빠짐없이 집계 처리되고 있는가?</t>
  </si>
  <si>
    <t>① 재고자산수량의 적정성에 대한 합리적 확신을 얻을 수 없을 정도로 중요한 예외사항이 발견된 경우</t>
  </si>
  <si>
    <t>② 예외사항이 지나치게 많아서 재고실사의 전반적인 신뢰성에 대하여 합리적 확신을 얻을 수 없는 경우</t>
  </si>
  <si>
    <t>재고실사입회전 준비절차</t>
    <phoneticPr fontId="3" type="noConversion"/>
  </si>
  <si>
    <t>재고자산의 이동에 대한 통제절차가 적정한가를 결정한다.</t>
    <phoneticPr fontId="3" type="noConversion"/>
  </si>
  <si>
    <t>재고자산 배치도를 입수하여 실사입회순서와 담당을 정한 후 가장 효과적인 입회방법을 강구한다.</t>
    <phoneticPr fontId="3" type="noConversion"/>
  </si>
  <si>
    <t>다음 사항이 포함된 명세서를 얻어 명확히 구분 보관되어 있는지를 확인한다.</t>
    <phoneticPr fontId="3" type="noConversion"/>
  </si>
  <si>
    <t xml:space="preserve">  ․회사소유재고</t>
    <phoneticPr fontId="3" type="noConversion"/>
  </si>
  <si>
    <t xml:space="preserve">  ․타인소유 회사내 재고</t>
    <phoneticPr fontId="3" type="noConversion"/>
  </si>
  <si>
    <t xml:space="preserve">  ․타처보관 재고</t>
    <phoneticPr fontId="3" type="noConversion"/>
  </si>
  <si>
    <t xml:space="preserve">  ․기입고 미검수 재고(기검수 미기장 재고도 포함)</t>
    <phoneticPr fontId="3" type="noConversion"/>
  </si>
  <si>
    <t xml:space="preserve">  ․기타 상품가치를 상실 또는 현저히 감소된 재고(진부화․장기체화)</t>
    <phoneticPr fontId="3" type="noConversion"/>
  </si>
  <si>
    <t xml:space="preserve">  ․재고조사표 또는 목록에 대한 통제여부</t>
    <phoneticPr fontId="3" type="noConversion"/>
  </si>
  <si>
    <t xml:space="preserve">  ․책임자의 재고조사시의 참여(입회)여부</t>
    <phoneticPr fontId="3" type="noConversion"/>
  </si>
  <si>
    <t>재고실사에 입회하여 다음 사항의 적정성 여부를 결정한다.</t>
    <phoneticPr fontId="3" type="noConversion"/>
  </si>
  <si>
    <t>(6)</t>
  </si>
  <si>
    <t>(7)</t>
  </si>
  <si>
    <t>(8)</t>
  </si>
  <si>
    <t>(9)</t>
    <phoneticPr fontId="3" type="noConversion"/>
  </si>
  <si>
    <t>(10)</t>
  </si>
  <si>
    <t>(11)</t>
  </si>
  <si>
    <t xml:space="preserve">적당량의 품목을 선정하여(예, 단가가 크고 중요한 항목, 품목이 많으나 재무제표상 중요한 항목 등) 감사인이 직접 실사하고 </t>
    <phoneticPr fontId="3" type="noConversion"/>
  </si>
  <si>
    <t>그 수량을 회사실사수량과 대조하고 가능한한 재고기록카드의 내용과 비교한다.</t>
    <phoneticPr fontId="3" type="noConversion"/>
  </si>
  <si>
    <t xml:space="preserve">재고조사표 및 명세표가 빠짐없이 관리되었는지 확인한 후 감사조서에 기록하고 목록이나 명세표에 의한 실사일 경우에는 </t>
    <phoneticPr fontId="3" type="noConversion"/>
  </si>
  <si>
    <t>목록에서 현장재고로 확인하는 방법과 현장재고에서 목록으로 확인하는 방법을 병행하여 실사한다.</t>
    <phoneticPr fontId="3" type="noConversion"/>
  </si>
  <si>
    <t>특수용기(탱크, 싸이로 등)속의 재고나 순도나 온도에 따라 가격이나 품질이 현격한 차이가 날 수 있는 재고인 경우 이에 대하여</t>
    <phoneticPr fontId="3" type="noConversion"/>
  </si>
  <si>
    <t>유의한다. 또한 무더기로 쌓인 재고인 경우에는 그 속에 든 것을 발췌하여 실사해 본다.</t>
    <phoneticPr fontId="3" type="noConversion"/>
  </si>
  <si>
    <t>다음의 경우에는 합리적 확신을 얻을 수 있을 때까지 표본규모를 확대하여 시사를 실시하거나 회사담당자로 하여금 재고실사를</t>
    <phoneticPr fontId="3" type="noConversion"/>
  </si>
  <si>
    <t>다시 수행하도록 요구한 후 감사인의 시사를 재실시하여야 한다.</t>
    <phoneticPr fontId="3" type="noConversion"/>
  </si>
  <si>
    <t>입증감사절차</t>
    <phoneticPr fontId="5" type="noConversion"/>
  </si>
  <si>
    <t>투자자산명세서를 입수하여 금액을 계산검증하고 잔액이 보조부와 일치하는지를 확인한다.</t>
  </si>
  <si>
    <t>E, C, V</t>
    <phoneticPr fontId="3" type="noConversion"/>
  </si>
  <si>
    <t>E, V, M</t>
    <phoneticPr fontId="3" type="noConversion"/>
  </si>
  <si>
    <t>회수불능자산의 대손처리 여부를 검토하고 대손충당금 설정의 타당성 및 계속성여부를 검토한다.</t>
  </si>
  <si>
    <t>투자자산 총괄표의 작성</t>
    <phoneticPr fontId="3" type="noConversion"/>
  </si>
  <si>
    <t>투자자산명세서</t>
    <phoneticPr fontId="3" type="noConversion"/>
  </si>
  <si>
    <t xml:space="preserve">중요한 항목은 직접 조회확인하여 해당조서와 연결하며, 주주총회의사록, 이사회의사록, 보험계약서 등을 검토하여 이 </t>
    <phoneticPr fontId="3" type="noConversion"/>
  </si>
  <si>
    <t>계정으로 분류된 자산의 실재성을 검토하고 유치권, 저당권 및 담보제공의 존재여부를 검토한다.</t>
    <phoneticPr fontId="3" type="noConversion"/>
  </si>
  <si>
    <t xml:space="preserve">당기말 잔액은 총계정원장과 전기말잔액은 전기감사보고서와 각각 대조하고 양년도간에 특별한 변동사항이 있는 경우에는 </t>
    <phoneticPr fontId="3" type="noConversion"/>
  </si>
  <si>
    <t>그 원인을 규명한다.</t>
    <phoneticPr fontId="3" type="noConversion"/>
  </si>
  <si>
    <t>권리증서(등기부등본, 등록원부 등)를 획득하여 투자부동산의 실재성과 소유권 및 담보제공 등의 소유권제한여부를 확인한다.</t>
    <phoneticPr fontId="3" type="noConversion"/>
  </si>
  <si>
    <t>당기중 중요한 증감내용에 대해 증빙대조하고 그 취득 및 처분가격이 적정한가를 확인하여 손익계정과 연결한다.</t>
    <phoneticPr fontId="3" type="noConversion"/>
  </si>
  <si>
    <t>투자자산과 관련하여 발생한 이자, 임차료, 처분손익등 관련손익계정이 적정하게 계상되었는가 확인한다. 특히, 장기성채권, 장기</t>
    <phoneticPr fontId="3" type="noConversion"/>
  </si>
  <si>
    <t>대여금, 장기금융상품 등의 평균이자율과 평균적수를 곱하여 이자수익의 합리성에 대한 Overall test를 수행한다.</t>
    <phoneticPr fontId="3" type="noConversion"/>
  </si>
  <si>
    <t>회수가능성</t>
    <phoneticPr fontId="3" type="noConversion"/>
  </si>
  <si>
    <t>기간계산에 의하여 인식되는 계정에 대하여는 기간 계산내용을 검증한다.</t>
    <phoneticPr fontId="3" type="noConversion"/>
  </si>
  <si>
    <t xml:space="preserve">    반영되었는지 확인한다.</t>
    <phoneticPr fontId="3" type="noConversion"/>
  </si>
  <si>
    <t xml:space="preserve">① 투자자산중 현재가치에 의한 평가사항이 있는 경우 동평가액과 동할인차금의 계산이 적정한지 검증하고, 관련손익계정에 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</si>
  <si>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장기성 채권(장기대여금등)에 대한 현재가치평가 여부를 검토하라.</t>
    </r>
    <phoneticPr fontId="3" type="noConversion"/>
  </si>
  <si>
    <t>① 투자부동산(비업무용 포함) 내용 및 공시지가(주석)</t>
    <phoneticPr fontId="3" type="noConversion"/>
  </si>
  <si>
    <t>② 현재가치로 평가한 자산이 있는 경우 현재가치평가에 관한내용(주석)</t>
    <phoneticPr fontId="3" type="noConversion"/>
  </si>
  <si>
    <t>③ 외화자산의 환산기준 및 환산손익의 내용(주석)</t>
    <phoneticPr fontId="3" type="noConversion"/>
  </si>
  <si>
    <t>④ 담보제공된 자산의 내용(주석)</t>
    <phoneticPr fontId="3" type="noConversion"/>
  </si>
  <si>
    <t>⑤ 특수관계자와의 거래내용(주석)</t>
    <phoneticPr fontId="3" type="noConversion"/>
  </si>
  <si>
    <t>유형자산 장부가액의 변동내용을 나타내는 요약표를 입수하여 분석하고, 당기말 잔액은 총계정원장과 전기말잔액은 전기감사</t>
    <phoneticPr fontId="3" type="noConversion"/>
  </si>
  <si>
    <t>보고서와 각각 대조하고, 양년도간에 특별한 변동사항이 있는 경우에는 그 원인을 규명한다.</t>
    <phoneticPr fontId="3" type="noConversion"/>
  </si>
  <si>
    <t>유형자산명세서를 입수하여 명세서의 내용을 계산검증하고 유형자산대장등의 보조부와 대조확인한다.</t>
  </si>
  <si>
    <t>E, C, V, M</t>
    <phoneticPr fontId="3" type="noConversion"/>
  </si>
  <si>
    <t xml:space="preserve">    하고, 기중에 취득, 처분과 관계된 청구서, 자본적 지출의 승인내용, 리스계약 및 기타증빙을 조사하여 그 실재성을 검토한다.</t>
    <phoneticPr fontId="3" type="noConversion"/>
  </si>
  <si>
    <t xml:space="preserve">    파악하여 동 유형자산에 대한 회계처리의 적정성을 검토하라.</t>
    <phoneticPr fontId="3" type="noConversion"/>
  </si>
  <si>
    <t>V, M</t>
    <phoneticPr fontId="3" type="noConversion"/>
  </si>
  <si>
    <t xml:space="preserve">    하게 미달할 가능성이 있는 자산에 대한 감액손실의 계상 및 회계처리의 적정성을 검토</t>
    <phoneticPr fontId="3" type="noConversion"/>
  </si>
  <si>
    <t xml:space="preserve">    그 금액을 확인</t>
    <phoneticPr fontId="3" type="noConversion"/>
  </si>
  <si>
    <t>관계회사등 특수관계자와의 거래가 있을 경우 회계처리의 적정성을 검토한다.</t>
  </si>
  <si>
    <t>C, V, M</t>
    <phoneticPr fontId="3" type="noConversion"/>
  </si>
  <si>
    <t xml:space="preserve">    계속적용여부 및 비용배부기준의 타당성을 검토</t>
    <phoneticPr fontId="3" type="noConversion"/>
  </si>
  <si>
    <t xml:space="preserve">    처리하고 있는지 검토</t>
    <phoneticPr fontId="3" type="noConversion"/>
  </si>
  <si>
    <t>국고보조금, 공사부담금 등에 의하여 유형자산을 무상 또는 공정가액보다 낮은 대가로 취득한 경우, 그 유형자산에 대한 취득</t>
    <phoneticPr fontId="3" type="noConversion"/>
  </si>
  <si>
    <t>원가 계상액, 이에 대한 회계처리 및 재무제표 표시의 적정성을 검토한다.</t>
    <phoneticPr fontId="3" type="noConversion"/>
  </si>
  <si>
    <t>12.</t>
    <phoneticPr fontId="3" type="noConversion"/>
  </si>
  <si>
    <t>13.</t>
    <phoneticPr fontId="3" type="noConversion"/>
  </si>
  <si>
    <t>PD</t>
    <phoneticPr fontId="3" type="noConversion"/>
  </si>
  <si>
    <t>유형자산총괄표 작성</t>
    <phoneticPr fontId="3" type="noConversion"/>
  </si>
  <si>
    <t>유형자산명세서</t>
    <phoneticPr fontId="3" type="noConversion"/>
  </si>
  <si>
    <t>필요시 중요한 유형자산에 대해서는 실사를 할 것을 고려한다.</t>
    <phoneticPr fontId="3" type="noConversion"/>
  </si>
  <si>
    <t>권리증서(등기부등본, 등록원부 등)를 획득하여 유형자산의 실재성과 소유권 및 담보제공 등의 소유권제한여부를 확인한다.</t>
    <phoneticPr fontId="3" type="noConversion"/>
  </si>
  <si>
    <t>중요한 증감거래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</si>
  <si>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당기중 중요한 증감내용에 대해 계약서등 증빙대조하고 취득승인 및 취득가액, 유형자산의 구분 등 회계처리의 적정성을 검토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</si>
  <si>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복구비용을 반영하여야 할 경우에는 추정 복구비용의 내용, 추정방법, 금액 및 회계처리방법을 검토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</si>
  <si>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수익적지출 및 자본적지출 구분의 타당성 및 계속성을 검토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</si>
  <si>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유형자산처분명세서를 제시받아 처분가격 등의 적정성을 검토하고 처분손익 등 관련손익계정과 연결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</si>
  <si>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내용연수 도중 사용을 중단하고, 처분 또는 폐기할 예정인 유형자산 또는 장래 사용을 재개할 예정인 유형자산이 있는지 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</si>
  <si>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동종 또는 이종자산과의 교환으로 취득한 유형자산의 유무에 대하여 질문하고, 이에 대한 회계처리의 적정성을 검토</t>
    </r>
    <phoneticPr fontId="3" type="noConversion"/>
  </si>
  <si>
    <t>건설중인 자산의 회계처리의 적정성 및 다음사항을 검토</t>
    <phoneticPr fontId="3" type="noConversion"/>
  </si>
  <si>
    <t>① 건설중인 자산에 대한 당기 지출액</t>
    <phoneticPr fontId="3" type="noConversion"/>
  </si>
  <si>
    <t>② 유형자산을 취득하기 위한 약정액</t>
    <phoneticPr fontId="3" type="noConversion"/>
  </si>
  <si>
    <t>③ 금융비용을 자본화한 경우 회계처리의 적정성 및 기간비용으로 회계처리 하였을 때와 비교하여 재무제표에 미치는 영향</t>
    <phoneticPr fontId="3" type="noConversion"/>
  </si>
  <si>
    <t>감액손실 등</t>
    <phoneticPr fontId="3" type="noConversion"/>
  </si>
  <si>
    <t>① 사용중인 유형자산중 진부화 또는 시장가치의 급격한 하락 등으로 인하여 유형자산의 미래 경제적 효익이 장부가액에 현저</t>
    <phoneticPr fontId="3" type="noConversion"/>
  </si>
  <si>
    <t xml:space="preserve">② 감액손실을 인식한 경우에는 감액을 초래한 상황의 변화나 내용, 감액손실의 평가에 사용된 회수가능가액의 산정방법과 </t>
    <phoneticPr fontId="3" type="noConversion"/>
  </si>
  <si>
    <t>리스자산</t>
    <phoneticPr fontId="3" type="noConversion"/>
  </si>
  <si>
    <t>① 리스계약서를 입수하여 운용리스와 금융리스의 구분이 정확한지 검토</t>
    <phoneticPr fontId="3" type="noConversion"/>
  </si>
  <si>
    <t>② 리스자산이 실제로 존재하며 회사의 영업활동을 위하여 사용되고 있는지 확인</t>
    <phoneticPr fontId="3" type="noConversion"/>
  </si>
  <si>
    <t>감가상각비명세서 징구 및 계상의 적정성</t>
    <phoneticPr fontId="3" type="noConversion"/>
  </si>
  <si>
    <t xml:space="preserve">국고보조금 등 </t>
    <phoneticPr fontId="3" type="noConversion"/>
  </si>
  <si>
    <t>재무제표 공시사항 검토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</si>
  <si>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감가상각비명세서를 징구하여 감가상각비 및 감가상각누계액계상의 적정성과 감가상각방법, 내용연수 또는 상각률의 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</si>
  <si>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신규취득자산에 적용하는 내용연수의 타당성을 검증 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</si>
  <si>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감가상각방법이나 내용연수를 변경한 경우 그 타당성과 재무제표에 미치는 영향을 확인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</si>
  <si>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유형자산에 대한 세무상의 처리방법을 확인하고, 세무와 회계상에 차이가 존재할 경우 그 차이에 대하여 적절하게 회계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</si>
  <si>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감가상각 및 감가상각누계액 계정과 유형자산계정의 총액과의 비율을 검토하고 전기와 비교한다.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</si>
  <si>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감가상각비의 배분을 전기와 비교</t>
    </r>
    <phoneticPr fontId="3" type="noConversion"/>
  </si>
  <si>
    <t xml:space="preserve">① 취득원가에서 감가상각누계액과 감액손실누계액을 차감하는 형식으로 대차대조표에 표시 </t>
    <phoneticPr fontId="3" type="noConversion"/>
  </si>
  <si>
    <t>② 유형자산의 과목별 감가상각방법, 내용연수 또는 상각률(주석)</t>
    <phoneticPr fontId="3" type="noConversion"/>
  </si>
  <si>
    <t>③ 장부가액의 당기 변동내용(주석)</t>
    <phoneticPr fontId="3" type="noConversion"/>
  </si>
  <si>
    <t>④ 추정 복구비용 관련사항(주석)</t>
    <phoneticPr fontId="3" type="noConversion"/>
  </si>
  <si>
    <t>⑤ 건설중인 자산에 대한 당기 지출액(주석)</t>
    <phoneticPr fontId="3" type="noConversion"/>
  </si>
  <si>
    <t>⑥ 유형자산을 취득하기 위한 약정액(주석)</t>
    <phoneticPr fontId="3" type="noConversion"/>
  </si>
  <si>
    <t>⑦ 금융비용자본화에 의해 자본화된 금액 및 기간비용으로 회계처리할 경우와의 비교내용(주석)</t>
    <phoneticPr fontId="3" type="noConversion"/>
  </si>
  <si>
    <t>⑧ 감액손실에 관한 내용(주석)</t>
    <phoneticPr fontId="3" type="noConversion"/>
  </si>
  <si>
    <t>⑨ 소유권이 제한되거나 담보로 제공된 유형자산의 내용과 금액(주석)</t>
    <phoneticPr fontId="3" type="noConversion"/>
  </si>
  <si>
    <t>⑩ 보험가입내용(주석)</t>
    <phoneticPr fontId="3" type="noConversion"/>
  </si>
  <si>
    <t>⑪ 보유토지의 공시지가(주석)2</t>
    <phoneticPr fontId="3" type="noConversion"/>
  </si>
  <si>
    <t>⑫ 최근재평가년월일과 재평가차액(주석)</t>
    <phoneticPr fontId="3" type="noConversion"/>
  </si>
  <si>
    <t>⑬ 리스자산이 있는 경우 회계처리방법, 관련자산, 부채의 금액과 내용(주석)</t>
    <phoneticPr fontId="3" type="noConversion"/>
  </si>
  <si>
    <t>⑭ 감가상각방법변경의 경우 그 변경의 타당성과 재무제표에 미치는 영향(본문 또는 주석)</t>
    <phoneticPr fontId="3" type="noConversion"/>
  </si>
  <si>
    <t>⑮ 특수관계자와의 거래내용(주석)</t>
    <phoneticPr fontId="3" type="noConversion"/>
  </si>
  <si>
    <t>타처보관 회사 재고에 대하여는 조회서를 발송한다.</t>
    <phoneticPr fontId="3" type="noConversion"/>
  </si>
  <si>
    <t>진부화된 재고목록과 해당 재고자산의 상태를 비교하고 적절한 전문가나 담당자의 의견을 구한 후 조서화 한다.</t>
    <phoneticPr fontId="3" type="noConversion"/>
  </si>
  <si>
    <t>입회 감사인은 재고실사입회에 대한 방법, 범위, 결과와 기말감사시 유의할 점 등을 기술한다.</t>
    <phoneticPr fontId="3" type="noConversion"/>
  </si>
  <si>
    <t>무형자산 장부가액의 변동내용을 나타내는 요약표를 입수하여 분석하고, 당기말 잔액은 총계정원장과 전기말잔액은 전기감사</t>
    <phoneticPr fontId="3" type="noConversion"/>
  </si>
  <si>
    <t>보고서와 각각 대조하고 양년도간에 특별한 변동사항이 있는 경우에는 그 원인을 규명한다.</t>
    <phoneticPr fontId="3" type="noConversion"/>
  </si>
  <si>
    <t>무형자산명세서를 입수하여 금액을 계산검증하고 잔액이 보조부와 일치하는지를 확인한다.</t>
  </si>
  <si>
    <t>무형자산명세서</t>
    <phoneticPr fontId="3" type="noConversion"/>
  </si>
  <si>
    <t>무형자산총괄표 작성</t>
    <phoneticPr fontId="3" type="noConversion"/>
  </si>
  <si>
    <t xml:space="preserve">등록증, 계약서 및 조회서등을 검토하여 소유권 및 소유권제한사항을 확인하고, 무형자산의 실재성에 대한 의문이 있을 경우, </t>
    <phoneticPr fontId="3" type="noConversion"/>
  </si>
  <si>
    <t>변호사 또는 기술사용권자 및 상표권자에게 조회한다.</t>
    <phoneticPr fontId="3" type="noConversion"/>
  </si>
  <si>
    <t xml:space="preserve">    의 계속적용여부 및 비용배부기준의 타당성을 검토</t>
    <phoneticPr fontId="3" type="noConversion"/>
  </si>
  <si>
    <t>무형자산에 대한 지출로서 과거 회계연도의 재무제표나 중간재무제표에서 비용으로 인식한 지출(즉, 무형자산의 인식기준충족시점</t>
    <phoneticPr fontId="3" type="noConversion"/>
  </si>
  <si>
    <t>이전의 지출)이 그 후의 기간에 발생한 무형자산의 취득원가의 일부로 계상되었는지를 검토한다. 특히, 무형자산으로 인식한 개발</t>
    <phoneticPr fontId="3" type="noConversion"/>
  </si>
  <si>
    <t>비와 당기비용으로 인식한 연구비 및 경상개발비의 회계처리 적정성을 검토한다.</t>
    <phoneticPr fontId="3" type="noConversion"/>
  </si>
  <si>
    <t>자산의 진부화 및 시장가치의 급격한 하락 등으로 인하여 감액손실이 발생한 무형자산의 유무 및 그에 대한 내용과 금액을 확인</t>
    <phoneticPr fontId="3" type="noConversion"/>
  </si>
  <si>
    <t>하고 감액손실누계액에 적절히 반영되었는지 확인한다.</t>
    <phoneticPr fontId="3" type="noConversion"/>
  </si>
  <si>
    <t>국고보조금, 공사부담금 등에 의하여 무형자산을 무상 또는 공정가액보다 낮은 대가로 취득한 경우, 그 무형자산에 대한 취득</t>
    <phoneticPr fontId="3" type="noConversion"/>
  </si>
  <si>
    <t>11.</t>
    <phoneticPr fontId="3" type="noConversion"/>
  </si>
  <si>
    <t>무형자산상각비의 적정성</t>
    <phoneticPr fontId="3" type="noConversion"/>
  </si>
  <si>
    <t>영업권과 부의영업권의 회계처리의 적정성을 검토한다.(인수합병준칙 참조)</t>
    <phoneticPr fontId="3" type="noConversion"/>
  </si>
  <si>
    <t>국고보조금등</t>
    <phoneticPr fontId="3" type="noConversion"/>
  </si>
  <si>
    <t>재무제표 공시사항 검토(공시사항점검표 참조)</t>
    <phoneticPr fontId="3" type="noConversion"/>
  </si>
  <si>
    <t>① 당기중 중요한 증감내용에 대해 증빙대조하고 증감액의 적정성을 확인한다.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</si>
  <si>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무형자산의 취득에 대한 약정사항 및 금액을 확인.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</si>
  <si>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무형자산처분명세서를 제시받아 처분가격 등의 적정성을 검토하고 처분손익등 관련손익계정과 연결</t>
    </r>
    <phoneticPr fontId="3" type="noConversion"/>
  </si>
  <si>
    <t>① 상각비명세서를 징구하여 상각액 및 간접법의 경우 상각누계액 계상의 적정성과 상각방법, 내용연수 또는 상각률, 잔존가액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</si>
  <si>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내용연수가 20년을 초과하는 경우 그 근거 및 내용연수 결정에 고려한 중요 요소를 확인 </t>
    </r>
    <phoneticPr fontId="3" type="noConversion"/>
  </si>
  <si>
    <t>③ 당기상각액이 손익계정별로 적절하게 계상되었는지 확인</t>
    <phoneticPr fontId="3" type="noConversion"/>
  </si>
  <si>
    <t>① 취득원가에서 상각누계액(간접법 적용시)과 감액손실누계액을 차감하는 형식으로 표시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</si>
  <si>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부의 영업권은 무형자산의 차감항목으로 표시</t>
    </r>
    <phoneticPr fontId="3" type="noConversion"/>
  </si>
  <si>
    <t>③ 무형자산 상각에 관련된 사항(주석)</t>
    <phoneticPr fontId="3" type="noConversion"/>
  </si>
  <si>
    <t>④ 무형자산 장부가액의 변동내용 관련사항(주석)</t>
    <phoneticPr fontId="3" type="noConversion"/>
  </si>
  <si>
    <t>⑤ 무형자산의 취득에 대한 약정사항 및 금액(주석)</t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</si>
  <si>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감액손실이 발생한 무형자산에 대한 내용과 금액(주석)</t>
    </r>
    <phoneticPr fontId="3" type="noConversion"/>
  </si>
  <si>
    <t>⑦ 권리가 제한되어 있는 무형자산과 담보제공 무형자산의 장부가액(주석)</t>
    <phoneticPr fontId="3" type="noConversion"/>
  </si>
  <si>
    <t>⑧ 당기에 비용으로 인식한 연구비와 경상개발비의 총액(주석)</t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</si>
  <si>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무형자산으로 인식하지 아니한 중요한 지출과 관련된 사항 등의 추가적 기재사항(주석)</t>
    </r>
    <phoneticPr fontId="3" type="noConversion"/>
  </si>
  <si>
    <r>
      <t>⑩</t>
    </r>
    <r>
      <rPr>
        <sz val="10"/>
        <rFont val="맑은 고딕"/>
        <family val="3"/>
        <charset val="129"/>
        <scheme val="major"/>
      </rPr>
      <t xml:space="preserve"> 영업권 또는 부의영업권과 관련된 내용(주석)</t>
    </r>
    <phoneticPr fontId="3" type="noConversion"/>
  </si>
  <si>
    <t>⑪ 특수관계자와의 거래내용(주석)</t>
    <phoneticPr fontId="3" type="noConversion"/>
  </si>
  <si>
    <t>기타비유동자산 총괄표의 작성</t>
    <phoneticPr fontId="3" type="noConversion"/>
  </si>
  <si>
    <t xml:space="preserve">당기말 잔액은 총계정원장과 전기말잔액은 전기감사보고서와 각각 대조하고 양년도간에 특별한 변동사항이 있는 경우에는 </t>
    <phoneticPr fontId="3" type="noConversion"/>
  </si>
  <si>
    <t>기타비유동자산명세서</t>
    <phoneticPr fontId="3" type="noConversion"/>
  </si>
  <si>
    <t>기타비유동자산명세서를 입수하여 금액을 계산검증하고 잔액이 보조부와 일치하는지를 확인한다.</t>
  </si>
  <si>
    <t xml:space="preserve">장기매출채권 및 장기미수금 등 중요한 항목은 직접 조회확인하여 해당조서와 연결하며, 주주총회의사록, 이사회의사록 등을 </t>
    <phoneticPr fontId="3" type="noConversion"/>
  </si>
  <si>
    <t>검토한다.</t>
    <phoneticPr fontId="3" type="noConversion"/>
  </si>
  <si>
    <t xml:space="preserve">기타비유동자산과 관련하여 발생한 손익계정이 적정하게 계상되었는가 확인한다. 특히, 이연법인세자산은 법인세비용 조서와 </t>
    <phoneticPr fontId="3" type="noConversion"/>
  </si>
  <si>
    <t>조회확인</t>
    <phoneticPr fontId="3" type="noConversion"/>
  </si>
  <si>
    <t>당기중 중요한 증감내용에 대해 증빙대조하여 증가 및 회수가 적정한가 검토한다.</t>
    <phoneticPr fontId="3" type="noConversion"/>
  </si>
  <si>
    <t>회수가능성</t>
    <phoneticPr fontId="3" type="noConversion"/>
  </si>
  <si>
    <t xml:space="preserve">기타비유동자산 중 현재가치에 의한 평가사항이 있는 경우 동 평가액과 할인차금의 계산이 적정한지 검증하고, 관련손익계정에 </t>
    <phoneticPr fontId="3" type="noConversion"/>
  </si>
  <si>
    <t>반영되었는지 확인한다.</t>
    <phoneticPr fontId="3" type="noConversion"/>
  </si>
  <si>
    <t>매입채무 총괄표 작성</t>
    <phoneticPr fontId="3" type="noConversion"/>
  </si>
  <si>
    <t>C, RO, PD</t>
  </si>
  <si>
    <t>당기말잔액은 총계정원장과 전기말잔액은 전기감사보고서와 대조하고 양년도간 특별한 변동이유를 규명한다.</t>
  </si>
  <si>
    <t xml:space="preserve">    검토하고, 장단기구분의 적정성을 검토</t>
    <phoneticPr fontId="3" type="noConversion"/>
  </si>
  <si>
    <t xml:space="preserve">    경과일수의 변동) 또는 반대로 예측되는 변동이 일어나지 않은 이유 등을 조사한다.</t>
    <phoneticPr fontId="3" type="noConversion"/>
  </si>
  <si>
    <t xml:space="preserve">    감사인의 예상과 다른 경우 추가적인 원인을 분석한다.</t>
    <phoneticPr fontId="3" type="noConversion"/>
  </si>
  <si>
    <t>E, RO, C</t>
  </si>
  <si>
    <t>중요성 및 금액적 범위에 따라 거래처에 직접 조회여부를 판단하고 조회시 다음 절차를 수행한다.</t>
  </si>
  <si>
    <t xml:space="preserve">    매입채무가 크게 감소한 매입처에 대해 집중적으로 조회확인한다.</t>
    <phoneticPr fontId="3" type="noConversion"/>
  </si>
  <si>
    <t xml:space="preserve">    보고서, 매입주문서 및 세금계산서 등의 확인)를 수행한다.</t>
    <phoneticPr fontId="3" type="noConversion"/>
  </si>
  <si>
    <t xml:space="preserve">    확인한다.</t>
    <phoneticPr fontId="3" type="noConversion"/>
  </si>
  <si>
    <t xml:space="preserve">    거래수준과 비교하라.  Roll-forward 기간동안 비정상적인 항목을 조사하라.</t>
    <phoneticPr fontId="3" type="noConversion"/>
  </si>
  <si>
    <t xml:space="preserve">    관련되는 계정(재고자산등)의 기간귀속과 비교한다.</t>
    <phoneticPr fontId="3" type="noConversion"/>
  </si>
  <si>
    <t xml:space="preserve">    계상되고 있는지 검토한다.</t>
    <phoneticPr fontId="3" type="noConversion"/>
  </si>
  <si>
    <t>매출채권의 회수가능성 및 대손충당금의 적정성</t>
    <phoneticPr fontId="3" type="noConversion"/>
  </si>
  <si>
    <t xml:space="preserve">    환어음을 결제하기 전까지는 매입채무로, 환어음을 결제한 후에는 단기차입금으로 회계처리함).</t>
    <phoneticPr fontId="3" type="noConversion"/>
  </si>
  <si>
    <t>할인, 양도 및 담보제공 여부에 대한 검토</t>
    <phoneticPr fontId="3" type="noConversion"/>
  </si>
  <si>
    <t>재무제표 공시 사항의 적정성 검토(공시사항점검표 참조)</t>
    <phoneticPr fontId="3" type="noConversion"/>
  </si>
  <si>
    <t>매입채무명세서를 받아 다음 절차를 수행한다.</t>
    <phoneticPr fontId="3" type="noConversion"/>
  </si>
  <si>
    <t>분석적 절차</t>
    <phoneticPr fontId="3" type="noConversion"/>
  </si>
  <si>
    <t>대차대조표일 이후 지급된 매입채무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</si>
  <si>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계산검증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</si>
  <si>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매입처별 보조부와 대조하고 동 잔액들이 최근의 청구서 등에 근거하여 계상되었는가를 확인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</si>
  <si>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지급어음명세를 검토하여 정상적인 영업활동 이외의 거래에서 발생된 어음의 포함여부를 조사하여 계정과목 재분류를 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</si>
  <si>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장기연불조건의 매매거래 및 이와 유사한 거래의 현재가치평가 여부와 회계처리방법의 적정성 검토(해석25-66 참조)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</si>
  <si>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회사정리 및 화의절차개시 및 당사자 합의로 원금, 이자율, 기간 등이 재조정된 매입채무에 대한 회계처리의 적정성 검토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</si>
  <si>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외화로 계상된 매입채무에 대하여 대차대조표일 현재로 적정하게 외화환산되어 있는지를 검토하라.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</si>
  <si>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매입채무명세를 전년도와 비교하고 예측하지 못한 변동이 있는지(예를 들면 주요 공급자, 차변잔액 구성비율 및 계정잔액 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</si>
  <si>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당기 매입액 및 평균 매입채무를 기초로 하여 회전율 및 지급기간을 예측산정하여 회사의 지급기간과 비교확인하고, </t>
    </r>
    <phoneticPr fontId="3" type="noConversion"/>
  </si>
  <si>
    <t>③ 지급어음, 기업구매카드, 구매자금대출에 대한 평균잔액에 평균이자율을 곱하여 이자비용의 적정성을 테스트한다.</t>
    <phoneticPr fontId="3" type="noConversion"/>
  </si>
  <si>
    <t>① 과소계상된 매입채무를 적발하기 위하여는 비경상적인 소액거래처를 표본으로 추출하여 조회서를 발송한다. 특히, 전기대비</t>
    <phoneticPr fontId="3" type="noConversion"/>
  </si>
  <si>
    <t>② 조회결과 차이발생에 대해서는 그 원인을 규명한다.</t>
    <phoneticPr fontId="3" type="noConversion"/>
  </si>
  <si>
    <t>③ 미회신거래에 대하여는 2차조회서를 발송하고 2차조회 미회신 거래처는 대체적 감사절차(결산일이후 대금지급상황, 검수</t>
    <phoneticPr fontId="3" type="noConversion"/>
  </si>
  <si>
    <t xml:space="preserve">④ 채권자에 대한 조회, 이사회의사록과 기타서류의 검토 등을 통하여 매입채무에 대한 담보권 및 담보로 제공된 자산을 </t>
    <phoneticPr fontId="3" type="noConversion"/>
  </si>
  <si>
    <t xml:space="preserve">⑤ 기중감사일 기준으로 잔액조회가 되었다면 조회일로부터 대차대조표일까지의 거래(Roll-forward)를 검토하고, 전기의 </t>
    <phoneticPr fontId="3" type="noConversion"/>
  </si>
  <si>
    <t>⑥ 금융기관조회서 검토시 Usance 거래 및 기업구매카드, 기업구매자금대출에 대한 장부상 부채계상의 확인에 주의하라.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</si>
  <si>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결산일 전후 일정기간의 매입채무지급액 및 송장, 검수보고서를 추적 검토하여 기간귀속(Cut-off)의 적정성을 확인한다.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</si>
  <si>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마감일 전후의 매입채무기록, 입고기록, 공급자계산서 및 기타 증빙이 적절한지 테스트하고, 매입채무의 기간귀속을 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</si>
  <si>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미착품으로 계상된 재고와 관련하여 소유권의 이전시점(도착지 또는 선적지 인도기준등)에 따라 적절히 매입채무로 </t>
    </r>
    <phoneticPr fontId="3" type="noConversion"/>
  </si>
  <si>
    <t>① 일반적 상거래(재고자산구입)에서 발생하지 아니한 채무의 재분류 (예：미지급금)</t>
    <phoneticPr fontId="3" type="noConversion"/>
  </si>
  <si>
    <t>② 1년 이후 지급될 금액의 재분류(예：장기성 매입채무)</t>
    <phoneticPr fontId="3" type="noConversion"/>
  </si>
  <si>
    <t>③ 결산일후 행해진 주요수정사항을 검토</t>
    <phoneticPr fontId="3" type="noConversion"/>
  </si>
  <si>
    <t xml:space="preserve">④ 기업구매카드 및 기업구매자금대출제도에 의한 매입시 계정분류의 적정성을 확인한다(기업구매지금대출시 판매기업이 </t>
    <phoneticPr fontId="3" type="noConversion"/>
  </si>
  <si>
    <t>② 외화표시 매입채무의 환산기준 및 환산손익의 내용</t>
    <phoneticPr fontId="3" type="noConversion"/>
  </si>
  <si>
    <t>③ 장기매입채무의 현재가치평가에 관한 내용(주석)</t>
    <phoneticPr fontId="3" type="noConversion"/>
  </si>
  <si>
    <t>④ 채무조정이 있은 경우 채무조정에 관한 내용(주석)</t>
    <phoneticPr fontId="3" type="noConversion"/>
  </si>
  <si>
    <t>당기말 잔액은 총계정원장과 전기말 잔액은 전기감사보고서와 대조하고 양년도간 특별한 변동이유를 규명한다.</t>
  </si>
  <si>
    <t>E, C, V, PD</t>
  </si>
  <si>
    <t>E, RO, C, M</t>
  </si>
  <si>
    <t>⑵ 최종이자지급일을 검토하여 지급이자의 미지급(선급)계상의 누락 유무를 확인하여 이자비용 감사절차와 연결</t>
  </si>
  <si>
    <t>E, C</t>
  </si>
  <si>
    <t>E, RO, V, M</t>
  </si>
  <si>
    <t>회사정리 및 화의절차개시 및 당사자 합의로 원금, 이자율, 기간 등이 재조정된 기타의 고정부채에 대한 회계처리의 적정성을 검토한다.</t>
  </si>
  <si>
    <t xml:space="preserve">당기 신규 사채발행내역을 유가증권신고서 등을 통하여 확인하고, 이에 대한 사채발행비, 사채할인발행차금, 전환권대가 등이 </t>
    <phoneticPr fontId="3" type="noConversion"/>
  </si>
  <si>
    <t>적정하게 계상되었는지 검토하고 차입처별, 종별로 구분된 명세표를 징구하여 차입금 보조원장 등의 보조부와 대조확인하고,</t>
    <phoneticPr fontId="3" type="noConversion"/>
  </si>
  <si>
    <t>다음 사항을 검토한다.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</si>
  <si>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원금상환 및 이자율 최종상환일 담보내역등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</si>
  <si>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원금에 대하여(외화차입의 경우는 원화와 외화 부기)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</si>
  <si>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>ⓐ</t>
    </r>
    <r>
      <rPr>
        <sz val="10"/>
        <rFont val="맑은 고딕"/>
        <family val="3"/>
        <charset val="129"/>
        <scheme val="major"/>
      </rPr>
      <t xml:space="preserve"> 기초잔액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</si>
  <si>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 xml:space="preserve">ⓑ </t>
    </r>
    <r>
      <rPr>
        <sz val="10"/>
        <rFont val="맑은 고딕"/>
        <family val="3"/>
        <charset val="129"/>
        <scheme val="major"/>
      </rPr>
      <t>기중차입, 상환 및 갱신액(외화의 경우는 상환손익)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</si>
  <si>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>ⓒ</t>
    </r>
    <r>
      <rPr>
        <sz val="10"/>
        <rFont val="맑은 고딕"/>
        <family val="3"/>
        <charset val="129"/>
        <scheme val="major"/>
      </rPr>
      <t xml:space="preserve"> 기말잔액(유동 및 고정부분을 구분하고 외화인 경우는 환산전금액, 환산후금액 환산손익도 표시)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</si>
  <si>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장기성인 경우의 기말잔액에 대하여는 향후 5년간 상환계획(1년 구분도 가능) </t>
    </r>
    <phoneticPr fontId="3" type="noConversion"/>
  </si>
  <si>
    <t xml:space="preserve">⑴ 은행, 보험회사, 종금사 등 채권자에 직접조회하여 기말잔액, 상환기한, 이자율, 최종이자지급일, 담보내용 주요차입조건 </t>
    <phoneticPr fontId="3" type="noConversion"/>
  </si>
  <si>
    <t xml:space="preserve">    등을 확인(중도상환은행 포함)</t>
    <phoneticPr fontId="3" type="noConversion"/>
  </si>
  <si>
    <t>⑶ 조회확인의 회신금액과 장부잔액과 차이가 있는 경우, 그 차이를 분석하고 은행연합회가 제공하는 여수신현황표를 입수하</t>
    <phoneticPr fontId="3" type="noConversion"/>
  </si>
  <si>
    <t xml:space="preserve">    여 피감사회사의 차입금, 여신한도, 담보제공, 지급보증, 파생상품 등의 내역이 금융기관조회서를 통하여 확인한 내용과 </t>
    <phoneticPr fontId="3" type="noConversion"/>
  </si>
  <si>
    <t xml:space="preserve">    일치하는지 여부를 대사확인하고 일치하지 않을 경우 회사담당자에게 질문하고 필요한 경우 금융기관 담당자와 직접 </t>
    <phoneticPr fontId="3" type="noConversion"/>
  </si>
  <si>
    <t xml:space="preserve">    연락하여 차이내역을 확인한다.</t>
    <phoneticPr fontId="3" type="noConversion"/>
  </si>
  <si>
    <t>차입계약서 상의 주요 계약사항등 준수 여부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</si>
  <si>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차입계약서 상의 주요 계약사항, 주식전환조건 등의 준수여부와 연체유무를 확인하고, 계약위반 불이행사항이 있는 경우 </t>
    </r>
    <phoneticPr fontId="3" type="noConversion"/>
  </si>
  <si>
    <t xml:space="preserve">    재무제표에 미치는 영향을 파악한다.(그 중요성에 따라 감사보고서 의견표명 또는 주석 기재) 특히, 특수관계자와의 중요 </t>
    <phoneticPr fontId="3" type="noConversion"/>
  </si>
  <si>
    <t xml:space="preserve">    차입건에 대해서는 계약에 따라 이자를 지급하는지 확인한다. 이는 계약서에 이자지급조항이 명시되어 있음에도 실질적</t>
    <phoneticPr fontId="3" type="noConversion"/>
  </si>
  <si>
    <t xml:space="preserve">    으로 이자를 지급하지 않아 이자비용을 과소계상할 수 있고, 세법상 부당행위계산부인규정에 해당될 수 있음에 유의한다.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</si>
  <si>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장기차입약정을 위반하여 채권자가 즉시 상환을 요구할 수 있는 채무는, 대차대조표일과 재무제표가 사실상 확정된 날 </t>
    </r>
    <phoneticPr fontId="3" type="noConversion"/>
  </si>
  <si>
    <t xml:space="preserve">    사이에 상환을 요구하지 않기로 합의하더라도 유동부채로 분류한다.(기준서 제21 문단 42 참조)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</si>
  <si>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장기차입약정을 위반하여 채권자가 즉시 상환을 요구할 수 있는 채무라도, 다음의 조건을 모두 충족하는 경우에는 </t>
    </r>
    <phoneticPr fontId="3" type="noConversion"/>
  </si>
  <si>
    <t xml:space="preserve">    비유동부채로 분류한다.(기준서 제21 문단 43 참조)</t>
    <phoneticPr fontId="3" type="noConversion"/>
  </si>
  <si>
    <r>
      <t xml:space="preserve">  </t>
    </r>
    <r>
      <rPr>
        <sz val="10"/>
        <rFont val="맑은 고딕"/>
        <family val="3"/>
        <charset val="129"/>
      </rPr>
      <t>ⓐ</t>
    </r>
    <r>
      <rPr>
        <sz val="10"/>
        <rFont val="맑은 고딕"/>
        <family val="3"/>
        <charset val="129"/>
        <scheme val="major"/>
      </rPr>
      <t xml:space="preserve"> 대차대조표일 이전에 차입약정의 위반을 해소할 수 있도록 대차대조표일로부터 1년을 초과하는 유예기간을 제공하기로 합의하였다.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</si>
  <si>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>ⓑ</t>
    </r>
    <r>
      <rPr>
        <sz val="10"/>
        <rFont val="맑은 고딕"/>
        <family val="3"/>
        <charset val="129"/>
        <scheme val="major"/>
      </rPr>
      <t xml:space="preserve"> ⓐ에서의 유예기간 내에 기업이 차입약정의 위반을 해소할 수 있다.</t>
    </r>
    <phoneticPr fontId="3" type="noConversion"/>
  </si>
  <si>
    <t xml:space="preserve">  ⓒ ⓐ에서의 유예기간동안 채권자가 즉시 상환을 요구할 수 없다.</t>
    <phoneticPr fontId="3" type="noConversion"/>
  </si>
  <si>
    <t>5.</t>
    <phoneticPr fontId="3" type="noConversion"/>
  </si>
  <si>
    <t>중요한 증감거래에 대하여 입출금거래를 검증하고, 계약서 등을 열람하여 계약내용을 확인하고 각 고정부채별로 상환조건에 따른</t>
    <phoneticPr fontId="3" type="noConversion"/>
  </si>
  <si>
    <t>상환액을 산출하여 피감사회사가 실제로 회계연도중에 상환한 금액과 비교한다.</t>
    <phoneticPr fontId="3" type="noConversion"/>
  </si>
  <si>
    <t>미지급(선급)이자 및 당기 이자비용의 적정성 검토</t>
    <phoneticPr fontId="3" type="noConversion"/>
  </si>
  <si>
    <t xml:space="preserve">② 차입종별 차입금 평균금액과 이자율을 근거로 하여 당기이자비용에 대한 Overall Test를 실시하여 부외부채의 유무를 </t>
    <phoneticPr fontId="3" type="noConversion"/>
  </si>
  <si>
    <t xml:space="preserve">    확인한다. 이때 약정이자율에 대한 신뢰성을 검토하여야 한다.</t>
    <phoneticPr fontId="3" type="noConversion"/>
  </si>
  <si>
    <t>① 주요금액에 대한 미지급(선급)이자의 계산을 은행조회서 상의 최종이자지급일을 활용하여 검토하고 동 합계금액을 미지급</t>
    <phoneticPr fontId="3" type="noConversion"/>
  </si>
  <si>
    <t xml:space="preserve">    비용명세 또는 선급비용명세와 연계하여 확인</t>
    <phoneticPr fontId="3" type="noConversion"/>
  </si>
  <si>
    <t>③ Overall Test 결과 만족할 수 없을 때는 차액에 대한 원인을 규명하고 일정이자지급 부분에 대한 관련 증빙을 대조</t>
    <phoneticPr fontId="3" type="noConversion"/>
  </si>
  <si>
    <t>연불수입조건으로써 Banker's Usance 잔액이 조회확인될 경우 단기차입금 계상의 적정성을 검토한다.(이자는 금융비용임)</t>
    <phoneticPr fontId="3" type="noConversion"/>
  </si>
  <si>
    <t>사채발행차금 등의 상각</t>
    <phoneticPr fontId="3" type="noConversion"/>
  </si>
  <si>
    <t>사채발행가액(사채발행수수료와 사채발행과 관련하여 직접 발생한 기타비용을 차감한 후의 가액)과 액면가액의 차액인 사채</t>
    <phoneticPr fontId="3" type="noConversion"/>
  </si>
  <si>
    <t>발행차금 등의 상각방법 및 금액의 적정성을 확인하고 사채이자계정에 연결한다.</t>
    <phoneticPr fontId="3" type="noConversion"/>
  </si>
  <si>
    <t>전환증권</t>
    <phoneticPr fontId="3" type="noConversion"/>
  </si>
  <si>
    <t xml:space="preserve">① 전환사채, 신주인수권부사채 등 전환증권을 발행한 경우에는 발행가액, 권리행사조건(행사가격, 행사기간 등), 특약사항, </t>
    <phoneticPr fontId="3" type="noConversion"/>
  </si>
  <si>
    <t xml:space="preserve">    담보 또는 보증 제공 내역 등 기존 주주의 이해에 관계되는 중요한 사항을 확인한다.</t>
    <phoneticPr fontId="3" type="noConversion"/>
  </si>
  <si>
    <t xml:space="preserve">② 전환증권 발행의 경우에는 사채발행차금, 전환권(신주인수권)조정,상환할증금에 대한 회계처리의 적정성을 검토하고 </t>
    <phoneticPr fontId="3" type="noConversion"/>
  </si>
  <si>
    <t xml:space="preserve">    전환권(신주인수권)대가는 자본계정과 연결한다.</t>
    <phoneticPr fontId="3" type="noConversion"/>
  </si>
  <si>
    <t>③ 전환권 행사에 대한 회계처리시 실제권리행사일을 기준으로 사채의 장부가액이 결정되었는지 여부를 확인하고 장부가액</t>
    <phoneticPr fontId="3" type="noConversion"/>
  </si>
  <si>
    <t xml:space="preserve">    (주식 발행가액)의 타당성을 검증한다.</t>
    <phoneticPr fontId="3" type="noConversion"/>
  </si>
  <si>
    <t>④ 신주인수권 행사의 경우에는 상환할증금, 신주인수권대가에 대한 회계처리의 적정성을 검토한다.</t>
    <phoneticPr fontId="3" type="noConversion"/>
  </si>
  <si>
    <t>⑤ 사채발행차금과 전환권(신주인수권)조정의 상각방법 및 금액의 적정성을 확인하고 사채이자계정에 연결한다.</t>
    <phoneticPr fontId="3" type="noConversion"/>
  </si>
  <si>
    <t>외화표시 차입금등에 대하여는 환산기준, 환산손익 및 구분계상의 적정성을 검토한다.</t>
    <phoneticPr fontId="3" type="noConversion"/>
  </si>
  <si>
    <t>10.</t>
    <phoneticPr fontId="3" type="noConversion"/>
  </si>
  <si>
    <t>채무조정의 적정성</t>
    <phoneticPr fontId="3" type="noConversion"/>
  </si>
  <si>
    <t>12.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</si>
  <si>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단기차입금에 당좌차월, 어음상의 채무 포함여부를 확인</t>
    </r>
    <phoneticPr fontId="3" type="noConversion"/>
  </si>
  <si>
    <t>재무제표 표시사항 검토</t>
    <phoneticPr fontId="3" type="noConversion"/>
  </si>
  <si>
    <t>② 1년 이후에 상환될 차입금은 장기채무로 재분류(상환계획서, 은행조회서, 기재사항 대조)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</si>
  <si>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장기채무중 1년이내에 상환될 차입금은 유동성장기부채로 재분류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</si>
  <si>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대차대조표일로부터 1년 이내에 상환되어야 하는 채무는, 대차대조표일과 재무제표가 사실상 확정된 날 사이에 대차대조표</t>
    </r>
    <phoneticPr fontId="3" type="noConversion"/>
  </si>
  <si>
    <t xml:space="preserve">    일로부터 1년을 초과하여 상환하기로 합의하더라도 유동부채로 분류(기준서 제21 문단40참조) </t>
    <phoneticPr fontId="3" type="noConversion"/>
  </si>
  <si>
    <t xml:space="preserve">⑤ 대차대조표일로부터 1년이내에 상환기일이 도래하더라도, 기존의 차입약정에 따라 대차대조표일로부터 1년을 초과하여 </t>
    <phoneticPr fontId="3" type="noConversion"/>
  </si>
  <si>
    <t xml:space="preserve">    상환할 수 있고 기업의 그러한 의도가 있는 경우에는 비유동부채로 분류(기준서 제21 문단 41 참조)</t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</si>
  <si>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사채할인차금은 사채에서 차감하는 형식으로 기재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</si>
  <si>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전환증권의 경우 상환할증금, 할인할증발행차금, 전환권 등 조정을 액면가액에 가감하는 형식으로 표시</t>
    </r>
    <phoneticPr fontId="3" type="noConversion"/>
  </si>
  <si>
    <t>13.</t>
    <phoneticPr fontId="3" type="noConversion"/>
  </si>
  <si>
    <t xml:space="preserve">주주총회 또는 이사회 의사록, 계약서, 금융기관조회서 또는 기타 서류를 검토하여 고정부채에 대한 승인 및 신용한도의 유무를 </t>
    <phoneticPr fontId="3" type="noConversion"/>
  </si>
  <si>
    <t>확인하라.</t>
    <phoneticPr fontId="3" type="noConversion"/>
  </si>
  <si>
    <t>14.</t>
    <phoneticPr fontId="3" type="noConversion"/>
  </si>
  <si>
    <t>재무제표 공시사항의 적정성 검토(공시사항점검표 참조)</t>
    <phoneticPr fontId="3" type="noConversion"/>
  </si>
  <si>
    <t xml:space="preserve">  ⓐ 장기채무로의 차환(또는 만기연장)</t>
    <phoneticPr fontId="3" type="noConversion"/>
  </si>
  <si>
    <t xml:space="preserve">  ⓑ 차입약정 위반의 해소</t>
    <phoneticPr fontId="3" type="noConversion"/>
  </si>
  <si>
    <t xml:space="preserve">  ⓒ 차입약정 위반을 해소할 수 있도록 대차대조표일로부터 1년을 초과하는 유예기간을 획득</t>
    <phoneticPr fontId="3" type="noConversion"/>
  </si>
  <si>
    <t>① 사채 및 장기차입금의 내용(주석)</t>
    <phoneticPr fontId="3" type="noConversion"/>
  </si>
  <si>
    <t>② 자기사채의 취득경위(주석)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</si>
  <si>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전환증권의 발행과 관련된 사항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</si>
  <si>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중대한 차입약정서 위반사항(주석)</t>
    </r>
    <phoneticPr fontId="3" type="noConversion"/>
  </si>
  <si>
    <t>⑤ 채무조정으로 인해 변경된 원금, 이자율 또는 기간 및 회계처리방법등(주석)</t>
    <phoneticPr fontId="3" type="noConversion"/>
  </si>
  <si>
    <t>⑥ 외화표시채무금액, 환산기준 및 환산손익의 내용(주석)</t>
    <phoneticPr fontId="3" type="noConversion"/>
  </si>
  <si>
    <t>⑦ 자기 또는 타인을 위하여 제공하고 있거나 타인으로부터 제공받고 있는 담보 및 보증의 내용(주석)</t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</si>
  <si>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특수관계자와의 거래내용(주석)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</si>
  <si>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대차대조표일 이후의 사채발행, 거액의 차입금 및 차관의 내역 및 주요조건(주석)</t>
    </r>
    <phoneticPr fontId="3" type="noConversion"/>
  </si>
  <si>
    <t>⑩ 대차대조표일과 재무제표가 사실상 확정된 날 사이에 발생한 다음과 같은 사건을 주석으로 기재</t>
    <phoneticPr fontId="3" type="noConversion"/>
  </si>
  <si>
    <t>15.</t>
    <phoneticPr fontId="3" type="noConversion"/>
  </si>
  <si>
    <t>계정별로 거래처, 거래내용, 계산근거, 기말잔액이 표시된 명세서를 징구받아 다음 절차를 수행한다.</t>
  </si>
  <si>
    <t>기타 유동부채중 주요금액에 대하여는 관련 증빙서류와 대조하여 거래발생 및 금액의 타당성을 확인한다.</t>
  </si>
  <si>
    <t>C, M</t>
  </si>
  <si>
    <t>손익계산서 및 제조원가명세서 상의 비용항목을 검토하여 미지급계상의 완전성을 확인한다.</t>
  </si>
  <si>
    <t xml:space="preserve">감사결론의 기술 </t>
    <phoneticPr fontId="3" type="noConversion"/>
  </si>
  <si>
    <t>기타유동부채의 총괄표 작성</t>
    <phoneticPr fontId="3" type="noConversion"/>
  </si>
  <si>
    <t>기타유동부채 명세서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</si>
  <si>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계산 검증 및 보조부와 대조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</si>
  <si>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장기 미처리거래에 대한 이유를 규명하고 적절한 회계처리 유도</t>
    </r>
    <phoneticPr fontId="3" type="noConversion"/>
  </si>
  <si>
    <t xml:space="preserve">③ 주요거래처에 대한 채무잔액이 중요할 경우 직접 조회 </t>
    <phoneticPr fontId="3" type="noConversion"/>
  </si>
  <si>
    <t xml:space="preserve">④ 기초와 기말의 내역을 비교하고, 회계처리의 계속성을 확인하라.(선수수익, 미지급비용 등은 동일한 내용이 계속적으로 </t>
    <phoneticPr fontId="3" type="noConversion"/>
  </si>
  <si>
    <t xml:space="preserve">    발생하는 경향이 있음)</t>
    <phoneticPr fontId="3" type="noConversion"/>
  </si>
  <si>
    <t xml:space="preserve">당기말잔액은 총계정원장과, 전기말잔액은 전기감사보고서와 각각 대조하고 기중 증감을 포함하여 특별한 변동이 있는 경우 </t>
    <phoneticPr fontId="3" type="noConversion"/>
  </si>
  <si>
    <t xml:space="preserve">이유를 규명한다. </t>
    <phoneticPr fontId="3" type="noConversion"/>
  </si>
  <si>
    <t xml:space="preserve">주요금액의 타당성 검증 </t>
    <phoneticPr fontId="3" type="noConversion"/>
  </si>
  <si>
    <t>미지급계상의 완전성 검토</t>
    <phoneticPr fontId="3" type="noConversion"/>
  </si>
  <si>
    <t>대차대조표일 이후에 지급된 금액 검토</t>
    <phoneticPr fontId="3" type="noConversion"/>
  </si>
  <si>
    <t xml:space="preserve">대차대조표일 이후 지급된 금액을 조사하여 당기에 제공받은 용역과 관련된 지급에 대하여 해당기간에 적절히 부채로 </t>
    <phoneticPr fontId="3" type="noConversion"/>
  </si>
  <si>
    <t>계상되었는지를 확인한다.</t>
    <phoneticPr fontId="3" type="noConversion"/>
  </si>
  <si>
    <t>외화표시 채무의 환산 및 회계처리내용의 적정성을 검토한다.</t>
    <phoneticPr fontId="3" type="noConversion"/>
  </si>
  <si>
    <t>처리가 적정한지를 DER ‘파생상품’과 연계하여 검토한다. (해석53-70 참조)</t>
    <phoneticPr fontId="3" type="noConversion"/>
  </si>
  <si>
    <t>① 가수금 등의 미결산 항목은 그 성질을 나타내는 적절한 과목으로 표시</t>
    <phoneticPr fontId="3" type="noConversion"/>
  </si>
  <si>
    <t xml:space="preserve">② 기타의 유동부채중 그 성질이나 금액이 중요한 경우 구분 기재 </t>
    <phoneticPr fontId="3" type="noConversion"/>
  </si>
  <si>
    <t>③ 기타유동부채중 1년 이후에 지급될 금액을 재분류</t>
    <phoneticPr fontId="3" type="noConversion"/>
  </si>
  <si>
    <t>① 외화표시채무가 있을 경우 외화금액, 환산기준 및 환산손익 내용(주석)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</si>
  <si>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특수관계자와의 거래내용(주석)</t>
    </r>
    <phoneticPr fontId="3" type="noConversion"/>
  </si>
  <si>
    <t>장단기차입금 및 사채 총괄표의 작성</t>
    <phoneticPr fontId="3" type="noConversion"/>
  </si>
  <si>
    <t>장단기차입금 및 사채 명세서</t>
    <phoneticPr fontId="3" type="noConversion"/>
  </si>
  <si>
    <t>C, V, M, PD</t>
  </si>
  <si>
    <t>월별급여명세서(부서별)를 징구하여 전기의 해당기간과 대비하고 특별한 변동사항이 있는 경우, 그 변동원인을 규명한다.</t>
  </si>
  <si>
    <t>E, M</t>
  </si>
  <si>
    <t xml:space="preserve">E, RO, V, </t>
  </si>
  <si>
    <t>M</t>
  </si>
  <si>
    <t>퇴직급여충당부채의 총괄표 작성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</si>
  <si>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퇴직급여충당부채의 변동내용을 나타내는 요약표를 입수하여 분석하고, 당기말잔액은 총계정원장과 전기말잔액은 전기감사</t>
    </r>
    <phoneticPr fontId="3" type="noConversion"/>
  </si>
  <si>
    <t xml:space="preserve">    보고서와 각각 대조하고 양년도 잔액간의 특별한 변동은 그 이유를 규명하고, 아래와 같이 분석적 절차를 수행한다.</t>
    <phoneticPr fontId="3" type="noConversion"/>
  </si>
  <si>
    <r>
      <t xml:space="preserve">  </t>
    </r>
    <r>
      <rPr>
        <sz val="10"/>
        <rFont val="맑은 고딕"/>
        <family val="3"/>
        <charset val="129"/>
      </rPr>
      <t>ⓐ</t>
    </r>
    <r>
      <rPr>
        <sz val="10"/>
        <rFont val="맑은 고딕"/>
        <family val="3"/>
        <charset val="129"/>
        <scheme val="major"/>
      </rPr>
      <t xml:space="preserve"> 대차대조표일 현재 퇴직급여충당부채 설정대상 인원 및 퇴직급여충당부채 설정금액을 입수하여 1인당 퇴직금추계액이 전년</t>
    </r>
    <phoneticPr fontId="3" type="noConversion"/>
  </si>
  <si>
    <t xml:space="preserve">      도와 비교하여 중요한 변동이 있었는지 확인한다.</t>
    <phoneticPr fontId="3" type="noConversion"/>
  </si>
  <si>
    <r>
      <t xml:space="preserve">  </t>
    </r>
    <r>
      <rPr>
        <sz val="10"/>
        <rFont val="맑은 고딕"/>
        <family val="3"/>
        <charset val="129"/>
      </rPr>
      <t>ⓑ</t>
    </r>
    <r>
      <rPr>
        <sz val="10"/>
        <rFont val="맑은 고딕"/>
        <family val="3"/>
        <charset val="129"/>
        <scheme val="major"/>
      </rPr>
      <t xml:space="preserve"> 퇴직금추계액의 Overall Test 수행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</si>
  <si>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>ⓒ</t>
    </r>
    <r>
      <rPr>
        <sz val="10"/>
        <rFont val="맑은 고딕"/>
        <family val="3"/>
        <charset val="129"/>
        <scheme val="major"/>
      </rPr>
      <t xml:space="preserve"> 1년이상 근속자중 퇴직금추계액에 누락되거나 이중으로 계상된 자가 없는지 검토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</si>
  <si>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대차대조표일 현재 퇴직자명세를 입수하여 퇴직금리스트상의 퇴직금 합계액이 총괄표의 퇴직급여충당부채 당기 감소액과 </t>
    </r>
    <phoneticPr fontId="3" type="noConversion"/>
  </si>
  <si>
    <t xml:space="preserve">    일치하는지 확인하고, 퇴직급여충당부채의 당기 증가금액이 손익계산서의 퇴직급여(제조경비 &amp; 판관비)와 일치하는지 확인하라.</t>
    <phoneticPr fontId="3" type="noConversion"/>
  </si>
  <si>
    <t>2.</t>
    <phoneticPr fontId="3" type="noConversion"/>
  </si>
  <si>
    <t>급여의 분석적 검토</t>
    <phoneticPr fontId="3" type="noConversion"/>
  </si>
  <si>
    <t>3.</t>
    <phoneticPr fontId="3" type="noConversion"/>
  </si>
  <si>
    <t>급여와 관계된 다음의 과목이 적절하게 계상되었는가 검토한다.</t>
    <phoneticPr fontId="3" type="noConversion"/>
  </si>
  <si>
    <t xml:space="preserve">    대차대조표일 현재 동 상여에 대한 지급계획이 있는 경우에는 근로의 제공이 있었던 회계연도의 비용으로 계상되었는지를 확인하라.)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</si>
  <si>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미지급급여 및 상여 (영업실적과 관련하여 지급되는 특별상여 등의 비정기적인 상여의 경우 동 상여에 대한 규정이 있거나 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</si>
  <si>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미지급된 복리후생비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</si>
  <si>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원천세 예수금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</si>
  <si>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제조원가 및 판매관리비 구분</t>
    </r>
    <phoneticPr fontId="3" type="noConversion"/>
  </si>
  <si>
    <t>4.</t>
    <phoneticPr fontId="3" type="noConversion"/>
  </si>
  <si>
    <t xml:space="preserve">기중퇴직금 지급액의 확인 </t>
    <phoneticPr fontId="3" type="noConversion"/>
  </si>
  <si>
    <t>기중퇴직금지급액에 대하여 적당량을 선정하여 퇴직금지급규정에 따라 적정하게 지급되었으며, 퇴직보험가입의 경우 보험수령</t>
    <phoneticPr fontId="3" type="noConversion"/>
  </si>
  <si>
    <t>액과 퇴직급여충당부채 감소내역을 비교검토한다.</t>
    <phoneticPr fontId="3" type="noConversion"/>
  </si>
  <si>
    <t>5.</t>
    <phoneticPr fontId="3" type="noConversion"/>
  </si>
  <si>
    <t>당기 퇴직급여충당부채 설정액의 계산검증과 계정분류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</si>
  <si>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직원 및 임원 퇴직금지급규정 징구(평균임금계산방법 근속년수에 따른 지급율 등의 주요사항 파악)</t>
    </r>
    <phoneticPr fontId="3" type="noConversion"/>
  </si>
  <si>
    <t xml:space="preserve">② 퇴직급여추계액의 정확성 검증 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</si>
  <si>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기업회계기준 상의 당기 설정할 금액과 회사계상액을 비교검토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</si>
  <si>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당기 설정액이 적절하게 제조원가 및 판매관리비로 구분 회계처리 되었는지를 검토한 후 관련계정에 연결 확인</t>
    </r>
    <phoneticPr fontId="3" type="noConversion"/>
  </si>
  <si>
    <t>6.</t>
    <phoneticPr fontId="3" type="noConversion"/>
  </si>
  <si>
    <t>퇴직보험예치금/퇴직연금 운용자산의 적정성 확인'(해석 13-27, 회계기준적용의견서 05-2 참조)</t>
    <phoneticPr fontId="3" type="noConversion"/>
  </si>
  <si>
    <t xml:space="preserve">보험회사 등에 예치 또는 신탁되어 있는 퇴직보험예치금 또는 퇴직연금 운용자산에 대한 수급권을 검토하고, 잔액조회서 및 기타 </t>
    <phoneticPr fontId="3" type="noConversion"/>
  </si>
  <si>
    <t>증빙서류를 입수하여 계정잔액의 적정성을 다음과 같이 확인하라.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</si>
  <si>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당기중 퇴직보험예치금 또는 퇴직연금 운용자산 감소금액이 퇴직금 지급액과 일치하는지 검토하라.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</si>
  <si>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대차대조표일 현재 보험회사 등으로부터 잔고확인서(또는 퇴직신탁계산서)상의 금액과 퇴직보험예치금 또는 퇴직연금 </t>
    </r>
    <phoneticPr fontId="3" type="noConversion"/>
  </si>
  <si>
    <t xml:space="preserve">    운용자산 잔액이 일치하는지 확인하라.</t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</si>
  <si>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당기중 퇴직보험예치금 또는 퇴직연금 운용자산에 대하여 원본에 전입된 수입이자 금액이 손익계산서상의 이자수익으로 </t>
    </r>
    <phoneticPr fontId="3" type="noConversion"/>
  </si>
  <si>
    <t xml:space="preserve">    적절히 계상되었는지 검토하라.</t>
    <phoneticPr fontId="3" type="noConversion"/>
  </si>
  <si>
    <t>7.</t>
    <phoneticPr fontId="3" type="noConversion"/>
  </si>
  <si>
    <t>재무제표 공시사항의 적정성 검토(공시사항점검표 참조)</t>
    <phoneticPr fontId="3" type="noConversion"/>
  </si>
  <si>
    <r>
      <rPr>
        <sz val="10"/>
        <rFont val="맑은 고딕"/>
        <family val="3"/>
        <charset val="129"/>
      </rPr>
      <t>①</t>
    </r>
    <r>
      <rPr>
        <sz val="10"/>
        <rFont val="맑은 고딕"/>
        <family val="3"/>
        <charset val="129"/>
        <scheme val="major"/>
      </rPr>
      <t xml:space="preserve"> 임원 및 직원의 퇴직금소요액과 충당부채의 내용(주석)</t>
    </r>
    <phoneticPr fontId="3" type="noConversion"/>
  </si>
  <si>
    <t>② 퇴직보험(종업원퇴직보험 및 퇴직보험)가입 상황(주석)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</si>
  <si>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국민연금전환금 불입내용(주석)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</si>
  <si>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퇴직연금 가입 상황(주석)</t>
    </r>
    <phoneticPr fontId="3" type="noConversion"/>
  </si>
  <si>
    <t>8.</t>
    <phoneticPr fontId="3" type="noConversion"/>
  </si>
  <si>
    <t>감사결론의 기술</t>
    <phoneticPr fontId="3" type="noConversion"/>
  </si>
  <si>
    <t>제충당부채 및 기타의 비유동부채 명세서를 입수하여 금액을 계산검증하고 잔액이 보조부와 일치하는지를 확인한다.</t>
  </si>
  <si>
    <t>중요한 항목은 관련계정의 근거가 되는 의사록, 계약서, 협정서 및 기타 서류를 직접 조회확인하여 해당조서와 연결한다.</t>
  </si>
  <si>
    <t>E, V, M</t>
  </si>
  <si>
    <t>특수관계자와의 거래내용의 타당성과 회계처리 및 표시상의 적정성을 검토한다.</t>
  </si>
  <si>
    <t>RO, C, V,</t>
  </si>
  <si>
    <t>제충당부채 및 기타의 비유동부채 총괄표 작성</t>
    <phoneticPr fontId="3" type="noConversion"/>
  </si>
  <si>
    <t>제충당부채 및 기타의 비유동부채 명세서</t>
    <phoneticPr fontId="3" type="noConversion"/>
  </si>
  <si>
    <t xml:space="preserve">당기말 잔액은 총계정원장과 전기말잔액은 전기감사보고서와 각각 대조하고 양년도간에 특별한 변동사항이 있는 경우에는 그 </t>
    <phoneticPr fontId="3" type="noConversion"/>
  </si>
  <si>
    <t>원인을 규명한다.</t>
    <phoneticPr fontId="3" type="noConversion"/>
  </si>
  <si>
    <t>조회확인</t>
    <phoneticPr fontId="3" type="noConversion"/>
  </si>
  <si>
    <t xml:space="preserve">당기중 중요한 증감내용에 대해 증빙대조하고 관련 손익계정과 연계하여 적정성 여부를 검토하며, 거래발생 및 금액의 타당성을 </t>
    <phoneticPr fontId="3" type="noConversion"/>
  </si>
  <si>
    <t>확인한다</t>
    <phoneticPr fontId="3" type="noConversion"/>
  </si>
  <si>
    <t>기타의 비유동부채와 관련하여 발생한 임대수익등 관련손익계정이 적정하게 계상되었는가 확인한다.</t>
    <phoneticPr fontId="3" type="noConversion"/>
  </si>
  <si>
    <t>제충당부채 설정의 타당성 및 계속성여부를 검토한다.</t>
    <phoneticPr fontId="3" type="noConversion"/>
  </si>
  <si>
    <t>기간계산에 의하여 인식되는 계정에 대하여는 기간 계산내용을 검증한다.</t>
    <phoneticPr fontId="3" type="noConversion"/>
  </si>
  <si>
    <t>현재가치에 의한 평가의 적정성</t>
    <phoneticPr fontId="3" type="noConversion"/>
  </si>
  <si>
    <t xml:space="preserve">기타의 비유동부채중 현재가치에 의한 평가사항이 있는 경우 동 평가액과 동할인차금의 계산이 적정한지 검증하고, </t>
    <phoneticPr fontId="3" type="noConversion"/>
  </si>
  <si>
    <t>관련손익계정에 반영되었는지 확인한다.(해석25-66 참조)</t>
    <phoneticPr fontId="3" type="noConversion"/>
  </si>
  <si>
    <t>9.</t>
    <phoneticPr fontId="3" type="noConversion"/>
  </si>
  <si>
    <t>채무조정의 적정성</t>
    <phoneticPr fontId="3" type="noConversion"/>
  </si>
  <si>
    <t xml:space="preserve">회사정리 및 화의절차개시 및 당사자 합의로 원금, 이자율, 기간 등이 재조정된 기타의 비유동부채에 대한 회계처리의 적정성을 </t>
    <phoneticPr fontId="3" type="noConversion"/>
  </si>
  <si>
    <t>검토한다.</t>
    <phoneticPr fontId="3" type="noConversion"/>
  </si>
  <si>
    <t>10.</t>
    <phoneticPr fontId="3" type="noConversion"/>
  </si>
  <si>
    <t>외화표시부채의 환산내용을 검토한다.</t>
    <phoneticPr fontId="3" type="noConversion"/>
  </si>
  <si>
    <t>11.</t>
    <phoneticPr fontId="3" type="noConversion"/>
  </si>
  <si>
    <t>특수관계자와의 거래</t>
    <phoneticPr fontId="3" type="noConversion"/>
  </si>
  <si>
    <t>12.</t>
    <phoneticPr fontId="3" type="noConversion"/>
  </si>
  <si>
    <t>제품보증충당부채의 감사절차(예시)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</si>
  <si>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회사의 제품보증정책에 대해 파악하고, 판매계약서․약정서 등을 검토하여 이를 확인하라. 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</si>
  <si>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제품보증충당부채와 관련비용계정의 변동을 검토하고, 동종업계 및 산업평균비율과 비교하라.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</si>
  <si>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설정비율의 타당성을 검토하고, 충당부채의 적정성을 확인하라.</t>
    </r>
    <phoneticPr fontId="3" type="noConversion"/>
  </si>
  <si>
    <r>
      <rPr>
        <sz val="10"/>
        <rFont val="맑은 고딕"/>
        <family val="3"/>
        <charset val="129"/>
      </rPr>
      <t>④</t>
    </r>
    <r>
      <rPr>
        <sz val="10"/>
        <rFont val="맑은 고딕"/>
        <family val="3"/>
        <charset val="129"/>
        <scheme val="major"/>
      </rPr>
      <t xml:space="preserve"> 당기중 신규 또는 비정상적인 제품보증과 관련된 의무가 발생했는지를 검토하라.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</si>
  <si>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잠재적인 보증문제가 존재하는지 확인하기 위해 계약서, 내부회신문서 또는 생산보고서 등을 검토하라.</t>
    </r>
    <phoneticPr fontId="3" type="noConversion"/>
  </si>
  <si>
    <r>
      <rPr>
        <sz val="10"/>
        <rFont val="맑은 고딕"/>
        <family val="3"/>
        <charset val="129"/>
      </rPr>
      <t>⑥</t>
    </r>
    <r>
      <rPr>
        <sz val="10"/>
        <rFont val="맑은 고딕"/>
        <family val="3"/>
        <charset val="129"/>
        <scheme val="major"/>
      </rPr>
      <t xml:space="preserve"> 대차대조표일 이후에 거액이나 신규 또는 비정상적인 보증문제가 발생하였는지 검토하라.</t>
    </r>
    <phoneticPr fontId="3" type="noConversion"/>
  </si>
  <si>
    <r>
      <rPr>
        <sz val="10"/>
        <rFont val="맑은 고딕"/>
        <family val="3"/>
        <charset val="129"/>
      </rPr>
      <t>⑦</t>
    </r>
    <r>
      <rPr>
        <sz val="10"/>
        <rFont val="맑은 고딕"/>
        <family val="3"/>
        <charset val="129"/>
        <scheme val="major"/>
      </rPr>
      <t xml:space="preserve"> 충당부채 설정시 제품보증과 관련하여 추가적으로 발생할 수 있는 벌과금 또는 기타비용이 존재하는지 검토하라.</t>
    </r>
    <phoneticPr fontId="3" type="noConversion"/>
  </si>
  <si>
    <t>⑧ 제품보증 클레임과 관련하여 변호사로부터 조회서의 수령여부를 고려하라.</t>
    <phoneticPr fontId="3" type="noConversion"/>
  </si>
  <si>
    <t>13.</t>
    <phoneticPr fontId="3" type="noConversion"/>
  </si>
  <si>
    <t>재무제표 공시사항 검토(공시사항점검표 참조)</t>
    <phoneticPr fontId="3" type="noConversion"/>
  </si>
  <si>
    <t>① 현재가치평가에 관한 내용(주석)</t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</si>
  <si>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채무조정이 있은 경우 채무조정에 관한 내용(주석)</t>
    </r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</si>
  <si>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외화부채의 외화금액, 환산기준 및 환산손익의 내용(주석)</t>
    </r>
    <phoneticPr fontId="3" type="noConversion"/>
  </si>
  <si>
    <r>
      <rPr>
        <sz val="10"/>
        <rFont val="맑은 고딕"/>
        <family val="3"/>
        <charset val="129"/>
      </rPr>
      <t>④</t>
    </r>
    <r>
      <rPr>
        <sz val="10"/>
        <rFont val="맑은 고딕"/>
        <family val="3"/>
        <charset val="129"/>
        <scheme val="major"/>
      </rPr>
      <t xml:space="preserve"> 특수관계자와의 거래내용(주석)</t>
    </r>
    <phoneticPr fontId="3" type="noConversion"/>
  </si>
  <si>
    <t>14.</t>
    <phoneticPr fontId="3" type="noConversion"/>
  </si>
  <si>
    <t xml:space="preserve">당기말잔액은 총계정원장과 전기말잔액은 전기감사보고서와 각각 대조하고, 양년도간 특별한 변동이유를 규명한다. </t>
  </si>
  <si>
    <t>이익잉여금 증감사항의 타당성 확인을 위해 전기 및 당기의 이익잉여금처분계산서를 검토하고, 다음 절차를 수행한다.</t>
  </si>
  <si>
    <t xml:space="preserve">E, RO, V, M </t>
  </si>
  <si>
    <t>M, PD</t>
  </si>
  <si>
    <t xml:space="preserve">자본계정의 총괄표 작성 </t>
    <phoneticPr fontId="3" type="noConversion"/>
  </si>
  <si>
    <t>자본계정의 명세서</t>
    <phoneticPr fontId="3" type="noConversion"/>
  </si>
  <si>
    <t xml:space="preserve">자본명세서를 입수하여 금액을 계산검증하고 잔액이 보조부와 일치하는지 확인한다. 또한 주요 증감내용을 이사회의사록 등과 </t>
    <phoneticPr fontId="3" type="noConversion"/>
  </si>
  <si>
    <t>대조 확인한다.</t>
    <phoneticPr fontId="3" type="noConversion"/>
  </si>
  <si>
    <t>자본금</t>
    <phoneticPr fontId="3" type="noConversion"/>
  </si>
  <si>
    <t>자본잉여금</t>
    <phoneticPr fontId="3" type="noConversion"/>
  </si>
  <si>
    <t>11.</t>
    <phoneticPr fontId="3" type="noConversion"/>
  </si>
  <si>
    <t>12.</t>
    <phoneticPr fontId="3" type="noConversion"/>
  </si>
  <si>
    <t xml:space="preserve">    결손보전을 승인한 주주총회일(주석) </t>
    <phoneticPr fontId="3" type="noConversion"/>
  </si>
  <si>
    <t>주당이익(손실)의 계산을 검증하라. (희석증권이 있는 경우 희석화 여부를 판단하라)</t>
    <phoneticPr fontId="3" type="noConversion"/>
  </si>
  <si>
    <t>자기주식의 취득</t>
    <phoneticPr fontId="3" type="noConversion"/>
  </si>
  <si>
    <t xml:space="preserve">기타포괄손익누계액(매도가능증권평가손익, 해외사업환산손익, 현금흐름위험회피 파생상품평가손익 등) 항목에 대한 금액의 </t>
    <phoneticPr fontId="3" type="noConversion"/>
  </si>
  <si>
    <t>정확성 및 회계처리의 적정성을 확인한다.</t>
    <phoneticPr fontId="3" type="noConversion"/>
  </si>
  <si>
    <t xml:space="preserve">회계기간중 주식기준보상(Share-based Payment)약정이 부여된 경우 이에 대한 내용을 정관, 주주총회 또는 의사회 의사록, </t>
    <phoneticPr fontId="3" type="noConversion"/>
  </si>
  <si>
    <t xml:space="preserve">법인등기부등본 및 관련 약정서를 통하여 파악하고, 주식기준보상 약정의 부여, 행사 및 소멸 그리고 관련비용의 회계처리가 </t>
    <phoneticPr fontId="3" type="noConversion"/>
  </si>
  <si>
    <t>적절하게 이루어지고 있는지를 검토하라.</t>
    <phoneticPr fontId="3" type="noConversion"/>
  </si>
  <si>
    <t xml:space="preserve">    등에 의한 제약사항을 검토하라. 또한 이러한 배당 등이 처분가능한 이익(배당 가능이익등)으로부터 이루어진 것인가를 검토하라.</t>
    <phoneticPr fontId="3" type="noConversion"/>
  </si>
  <si>
    <t xml:space="preserve">이익잉여금 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</si>
  <si>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증자가 있는 경우 수권자본범위, 입금기록(유상증자), 등기부등본을 확인</t>
    </r>
    <phoneticPr fontId="3" type="noConversion"/>
  </si>
  <si>
    <t>① 자본잉여금 내용 및 증감사항의 타당성을 검토</t>
  </si>
  <si>
    <t xml:space="preserve">① 임의적립금이입액, 결손금처리액 및 이익잉여금 처분에 따른 증감내역에 대한 주주총회 승인 여부 확인 </t>
  </si>
  <si>
    <t>① 취득경위, 향후처리계획, 질권 기타 담보제공여부(보관증확인 또는 조회확인)</t>
  </si>
  <si>
    <t>① 자본금은 보통주자본금, 우선주자본금으로 구분 기재</t>
  </si>
  <si>
    <t>① 수권주식수, 1주의 금액, 주식종류별, 발행주식수(주석)</t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</si>
  <si>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감자가 있는 경우 적법성과 감자차손익의 적정성을 확인하고 등기부등본 확인</t>
    </r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</si>
  <si>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현물출자일 경우 공정가액평가와 회계처리의 적정성 확인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</si>
  <si>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신주청약증거금, 청약미수금이 있는 경우 관련 증빙과 대조 확인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</si>
  <si>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정관 및 법인등기부등본을 입수하여 자본계정의 내역을 확인하라.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</si>
  <si>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주주명부나 주식대장을 검토하여 기중 자본의 변동상황을 확인하라.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</si>
  <si>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전환증권의 발행 및 전환 등에 대한 회계처리의 적정성을 검토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</si>
  <si>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법령에 따라 적립되는 이익잉여금의 관련법규 준수여부 확인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</si>
  <si>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현금배당 및 주식배당에 관한 승인 및 관련 세부자료를 검토하고, 배당금액의 계산을 검증하라. 법규, 차입약정서 및 기타 증서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</si>
  <si>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기타 이익잉여금의 변동사항의 타당성 검토</t>
    </r>
    <phoneticPr fontId="3" type="noConversion"/>
  </si>
  <si>
    <t>② 자기주식 취득대가의 실제 지불 및 회계처리 여부</t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</si>
  <si>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주식소각을 목적으로 취득한 경우에는 실사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</si>
  <si>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주식의 종류별 1주당배당금(율) (주기).</t>
    </r>
    <phoneticPr fontId="3" type="noConversion"/>
  </si>
  <si>
    <t xml:space="preserve">③ 기타 자본잉여금의 성질이나 금액이 중요한 것은 그 내용을 표시하는 과목으로 기재 </t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</si>
  <si>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주당이익(손실)(공개기업이나 상장절차를 진행하고 있는 기업이 아닌 경우 주당이익을 공시하지 않을 수 있음) </t>
    </r>
    <phoneticPr fontId="3" type="noConversion"/>
  </si>
  <si>
    <t xml:space="preserve">    (기준서 제23호 문단2 참조)</t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</si>
  <si>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대차대조표일 후에 이루어진 잉여금처분의 경우 대차대조표에는 이익잉여금처분전의 재무상태를 표시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</si>
  <si>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증자, 감자, 주식배당 또는 기타 사유로 자본금이 변동한 경우 그 내용(주석)</t>
    </r>
    <phoneticPr fontId="3" type="noConversion"/>
  </si>
  <si>
    <r>
      <rPr>
        <sz val="10"/>
        <rFont val="맑은 고딕"/>
        <family val="3"/>
        <charset val="129"/>
      </rPr>
      <t>③</t>
    </r>
    <r>
      <rPr>
        <sz val="10"/>
        <rFont val="맑은 고딕"/>
        <family val="3"/>
        <charset val="129"/>
        <scheme val="major"/>
      </rPr>
      <t xml:space="preserve"> 자기주식의 취득경위 및 향후처리계획(주석)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</si>
  <si>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이익잉여금 중 법정적립금과 임의적립금의 세부내용 및 법령 등에 따라 이익배당이 제한되어 있는 이익잉여금의 내용(주석)</t>
    </r>
    <phoneticPr fontId="3" type="noConversion"/>
  </si>
  <si>
    <r>
      <rPr>
        <sz val="10"/>
        <rFont val="맑은 고딕"/>
        <family val="3"/>
        <charset val="129"/>
      </rPr>
      <t>⑤</t>
    </r>
    <r>
      <rPr>
        <sz val="10"/>
        <rFont val="맑은 고딕"/>
        <family val="3"/>
        <charset val="129"/>
        <scheme val="major"/>
      </rPr>
      <t xml:space="preserve"> 당해 회계연도 개시일전 2년내에 결손보전을 한 경우에는 결손보전에 충당된 자본잉여금이나 이익잉여금의 명칭과 금액 및 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</si>
  <si>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신주청약증거금에 대한 신주발행주식수, 주금납입일, 자본잉여금으로 적립된 금액(주석)</t>
    </r>
    <phoneticPr fontId="3" type="noConversion"/>
  </si>
  <si>
    <r>
      <rPr>
        <sz val="10"/>
        <rFont val="맑은 고딕"/>
        <family val="3"/>
        <charset val="129"/>
      </rPr>
      <t>⑦</t>
    </r>
    <r>
      <rPr>
        <sz val="10"/>
        <rFont val="맑은 고딕"/>
        <family val="3"/>
        <charset val="129"/>
        <scheme val="major"/>
      </rPr>
      <t xml:space="preserve"> 주식기준보상 약정을 부여하고 있는 경우, 이로 인하여 발행할 주식의 총수, 부여방법, 행사가격, 행사기간등(주석) (기준서 제22호 참조)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</si>
  <si>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발행주식중 상호주식등 법령에 의하여 의결권이 제한되어 있는 경우 그 내용(주석)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</si>
  <si>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해외사업환산손익의 내용(주석)</t>
    </r>
    <phoneticPr fontId="3" type="noConversion"/>
  </si>
  <si>
    <r>
      <rPr>
        <sz val="10"/>
        <rFont val="맑은 고딕"/>
        <family val="3"/>
        <charset val="129"/>
      </rPr>
      <t>⑩</t>
    </r>
    <r>
      <rPr>
        <sz val="10"/>
        <rFont val="맑은 고딕"/>
        <family val="3"/>
        <charset val="129"/>
        <scheme val="major"/>
      </rPr>
      <t xml:space="preserve"> 배당수익률, 배당성향 및 배당액의 산정내역(주석)</t>
    </r>
    <phoneticPr fontId="3" type="noConversion"/>
  </si>
  <si>
    <r>
      <t>⑪</t>
    </r>
    <r>
      <rPr>
        <sz val="10"/>
        <rFont val="맑은 고딕"/>
        <family val="3"/>
        <charset val="129"/>
        <scheme val="major"/>
      </rPr>
      <t xml:space="preserve"> 주당손익의 산출근거(주석)(희석증권의 발행이 있는 경우 기준서 제23호 문단 21～56 참조)</t>
    </r>
    <phoneticPr fontId="3" type="noConversion"/>
  </si>
  <si>
    <t>O, M, PD</t>
  </si>
  <si>
    <t>O, M</t>
  </si>
  <si>
    <t>O, C, M</t>
  </si>
  <si>
    <t>최근 2-3년간 손익계산서에 대한 다음의 분석적검토를 실시한다.</t>
  </si>
  <si>
    <t>O, C, M, PD</t>
  </si>
  <si>
    <t>내부거래가 있는 경우 내부거래금액과 내부미실현이익은 적절히 상계제거되었는가 검토한다.</t>
  </si>
  <si>
    <t>O, PD</t>
  </si>
  <si>
    <t>매출액 비교분석표 작성</t>
    <phoneticPr fontId="3" type="noConversion"/>
  </si>
  <si>
    <t>6.</t>
    <phoneticPr fontId="3" type="noConversion"/>
  </si>
  <si>
    <t>9.</t>
    <phoneticPr fontId="3" type="noConversion"/>
  </si>
  <si>
    <t>매출액명세서 및 부가가치세신고서의 입수</t>
    <phoneticPr fontId="3" type="noConversion"/>
  </si>
  <si>
    <t>분석적 검토</t>
    <phoneticPr fontId="3" type="noConversion"/>
  </si>
  <si>
    <t>수익인식기준의 타당성</t>
    <phoneticPr fontId="3" type="noConversion"/>
  </si>
  <si>
    <t>내부거래의 제거</t>
    <phoneticPr fontId="3" type="noConversion"/>
  </si>
  <si>
    <t>결산일 직전․후의 거래를 분석하여 기간귀속의 적정성을 확인한다.</t>
    <phoneticPr fontId="3" type="noConversion"/>
  </si>
  <si>
    <t xml:space="preserve">당기 금액은 총계정원장과 전기 금액은 전기감사보고서와 각각 대조하고 양년도간에 특별한 변동사항이 있는 경우에는 그 </t>
    <phoneticPr fontId="3" type="noConversion"/>
  </si>
  <si>
    <t>원인을 규명한다.</t>
    <phoneticPr fontId="3" type="noConversion"/>
  </si>
  <si>
    <t xml:space="preserve">수익종류별, 월별 또는 지역별 매출액명세서의 잔액이 보조부와 일치하는지를 확인하고 부가가치세신고서와 대조, 계산의 </t>
    <phoneticPr fontId="3" type="noConversion"/>
  </si>
  <si>
    <t>정확성을 검증한다.</t>
    <phoneticPr fontId="3" type="noConversion"/>
  </si>
  <si>
    <t xml:space="preserve">관계회사등 특수관계자와의 거래유무를 확인하고, 거래가 있으면 이해관계없는 제3자와의 거래와 같이 정당하고 공정하게 </t>
    <phoneticPr fontId="3" type="noConversion"/>
  </si>
  <si>
    <t>이루어졌는가를 검토한다.</t>
    <phoneticPr fontId="3" type="noConversion"/>
  </si>
  <si>
    <r>
      <rPr>
        <sz val="10"/>
        <rFont val="맑은 고딕"/>
        <family val="3"/>
        <charset val="129"/>
      </rPr>
      <t>①</t>
    </r>
    <r>
      <rPr>
        <sz val="10"/>
        <rFont val="맑은 고딕"/>
        <family val="3"/>
        <charset val="129"/>
        <scheme val="major"/>
      </rPr>
      <t xml:space="preserve"> 매출액의 내용별 구성비율의 분석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</si>
  <si>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매출액과 판매비(운반비, 수출비, 판매수수료등)와의 비교분석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</si>
  <si>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월별매출액의 비교분석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</si>
  <si>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매출총이익율의 분석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</si>
  <si>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매출액 대비 환입, 에누리, 할인등의 비교분석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</si>
  <si>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재무비율의 추이를 분석하고 결과치를 산업평균과 경쟁사와 비교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</si>
  <si>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월별 또는 분기별 예산과 실제 매출액을 비교하고, 중요한 차이에 대한 검토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</si>
  <si>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결산일 전후 수일간의 매출액을 당해연도 평균 일일 매출액과 비교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</si>
  <si>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당기의 월별 판매단가자료를 입수하여 추세를 분석하고, 전기의 평균판매단가와 비교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</si>
  <si>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거래형태별 수익인식기준의 타당성과 계속성을 검토한다.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</si>
  <si>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거래이후에도 판매자가 관련 재화의 소유에 따른 위험을 부담하는 경우 수익인식의 적정성(반품추정액의 적정성 포함)을 검토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</si>
  <si>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특수판매(위탁판매, 할부판매, 예약판매, 시용판매, 도급공사등)가 있는 경우 미실현이익의 계상여부를 검토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</si>
  <si>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매출에누리, 매출환입, 매출할인, 판매장려금 등의 기간귀속의 적정성을 검토하고, 매출액의 차감항목으로 회계처리 되었는지를 검토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</si>
  <si>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수익의 총액 또는 순액인식의 타당성에 대하여 검토하라.'(회계기준적용의견서 2003-2 참조)</t>
    </r>
    <phoneticPr fontId="3" type="noConversion"/>
  </si>
  <si>
    <t>① 매출액은 총매출액에서 매출에누리와 환입 및 매출할인을 차감하여 기재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</si>
  <si>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수익을 인식하기 위하여 적용한 회계정책과 용역제공거래의 진행률의 결정방법(주석)</t>
    </r>
    <phoneticPr fontId="3" type="noConversion"/>
  </si>
  <si>
    <t>③ 건설업의 경우 공사손익의 인식방법과 공사진행율의 계산방법(주석)</t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</si>
  <si>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반제품매출액, 부산물매출액, 작업폐물매출액, 수출액, 장기할부매출액 등이 중요한 경우 구분표시 또는 주석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</si>
  <si>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특수관계자와의 거래내용(주석)</t>
    </r>
    <phoneticPr fontId="3" type="noConversion"/>
  </si>
  <si>
    <t>⑥ 중소기업의 회계처리에 대한 특례규정을 적용하는 경우에는 그 내용(주석)</t>
    <phoneticPr fontId="3" type="noConversion"/>
  </si>
  <si>
    <t>회사가 채택하고 있는 원가계산제도에 따른 원가계산 방법이 타당한가를 검토한다.(원가계산관계서류 징구)</t>
  </si>
  <si>
    <t>전기 대비 제조원가명세서를 징구하여 다음의 감사절차를 수행한다.</t>
  </si>
  <si>
    <t>매출원가 비교분석표 작성</t>
    <phoneticPr fontId="3" type="noConversion"/>
  </si>
  <si>
    <t>매출원가와 매출액을 전기와 비교하여 매출이익의 변동이 큰 경우에는 그 원인을 조사한다.</t>
    <phoneticPr fontId="3" type="noConversion"/>
  </si>
  <si>
    <t xml:space="preserve">전기의 매출원가 내용은 전기감사보고서와 대조하고, 기초재고액과 당기매입액(또는 당기제조원가) 및 기말재고액은 </t>
    <phoneticPr fontId="3" type="noConversion"/>
  </si>
  <si>
    <t>재고자산조서와 연결한다.</t>
    <phoneticPr fontId="3" type="noConversion"/>
  </si>
  <si>
    <t>매출원가 차감(가산)항목의 적정성</t>
    <phoneticPr fontId="3" type="noConversion"/>
  </si>
  <si>
    <r>
      <rPr>
        <sz val="10"/>
        <rFont val="맑은 고딕"/>
        <family val="3"/>
        <charset val="129"/>
      </rPr>
      <t>①</t>
    </r>
    <r>
      <rPr>
        <sz val="10"/>
        <rFont val="맑은 고딕"/>
        <family val="3"/>
        <charset val="129"/>
        <scheme val="major"/>
      </rPr>
      <t xml:space="preserve"> 타계정에서 대체된 내용과 타계정으로 대체된 명세서를 입수하여 그 처리의 적정성을 검토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</si>
  <si>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관세환급금등 매출원가에서 차감할 사항의 유무를 검토</t>
    </r>
    <phoneticPr fontId="3" type="noConversion"/>
  </si>
  <si>
    <t>원가계산방법의 타당성</t>
    <phoneticPr fontId="3" type="noConversion"/>
  </si>
  <si>
    <t>제조원가명세서의 적정성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</si>
  <si>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원가구성비율등을 제조원가 요소별로 전기와 대비하여 적정성을 검토하고 비정상적인 거래에 대해서는 증빙대조하여 그 타당성을 확인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</si>
  <si>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보조부 및 총계정원장과 대조하고 보조부를 개관하여 특이한 금액이 있으면 증빙을 검토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</si>
  <si>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제조원가와 판매관리비와의 구분기준 검토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</si>
  <si>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제조원가중 B/S과목과 연결되는 부분을 검토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</si>
  <si>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타계정에서 대체된 내용과 타계정으로 대체된 명세서를 입수하여 그 처리의 적정성을 검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</si>
  <si>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매입량과 판매량을 비교하고, 비경상적이거나 중요한 변동을 조사하라.</t>
    </r>
    <phoneticPr fontId="3" type="noConversion"/>
  </si>
  <si>
    <t>제조원가항목의 분석적검토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</si>
  <si>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제조원가 각 항목의 월별 변동사항을 검토하고, 전기와도 비교하여 그 변동의 타당성을 확인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</si>
  <si>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수도광열비, 지급임차료등 매월 지급되는 비용은 최종월분이 계상되었는지 확인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</si>
  <si>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월별․분기별로 회사의 예산과 실제비용을 비교분석하고, 중요한 변동의 원인에 대하여 확인하라.</t>
    </r>
    <phoneticPr fontId="3" type="noConversion"/>
  </si>
  <si>
    <t>대차대조표일 직전․후의 거래를 분석하여 기간귀속의 적정성을 확인한다.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</si>
  <si>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중요한 반제품등 매출액, 수출액 및 장기할부매출액과 관련 매출원가의 내용(주석)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</si>
  <si>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매입액은 총매입액에서 매입에누리와 환출 및 매입할인을 차감하여 기재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</si>
  <si>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제조원가에 포함된 부가가치구성의 과목과 금액(주석)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</si>
  <si>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특수관계자와의 거래내역(주석)</t>
    </r>
    <phoneticPr fontId="3" type="noConversion"/>
  </si>
  <si>
    <t>비용별 월별 명세서를 입수하여 다음의 절차를 수행한다.</t>
  </si>
  <si>
    <t>3. 다음의 비용은 관련되는 자산 또는 부채계정의 감사조서와 연결하여 검토한다.</t>
  </si>
  <si>
    <t>판매비와 관리비 비교분석표 작성</t>
    <phoneticPr fontId="3" type="noConversion"/>
  </si>
  <si>
    <t>판매비와 관리비 월별명세서</t>
    <phoneticPr fontId="3" type="noConversion"/>
  </si>
  <si>
    <r>
      <rPr>
        <sz val="10"/>
        <rFont val="맑은 고딕"/>
        <family val="3"/>
        <charset val="129"/>
      </rPr>
      <t>①</t>
    </r>
    <r>
      <rPr>
        <sz val="10"/>
        <rFont val="맑은 고딕"/>
        <family val="3"/>
        <charset val="129"/>
        <scheme val="major"/>
      </rPr>
      <t xml:space="preserve"> 전기와 대비하여 검토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</si>
  <si>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매출액에 대한 구성비율 검토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</si>
  <si>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보조부 및 총계정원장과 대조</t>
    </r>
    <phoneticPr fontId="3" type="noConversion"/>
  </si>
  <si>
    <r>
      <rPr>
        <sz val="10"/>
        <rFont val="맑은 고딕"/>
        <family val="3"/>
        <charset val="129"/>
      </rPr>
      <t>④</t>
    </r>
    <r>
      <rPr>
        <sz val="10"/>
        <rFont val="맑은 고딕"/>
        <family val="3"/>
        <charset val="129"/>
        <scheme val="major"/>
      </rPr>
      <t xml:space="preserve"> 보조부를 개관하여 특별한 금액이 있으면 증빙을 확인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</si>
  <si>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급여 및 퇴직급여는 미지급비용 또는 퇴직급여충당부채 조서와 연결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</si>
  <si>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감가상각비와 수선비는 유형자산 감사조서와 연결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</si>
  <si>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무형자산상각비는 무형자산 감사조서와 연결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</si>
  <si>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대손상각비는 매출채권, 대손충당금감사조서와 연결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</si>
  <si>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보험료는 선급비용과 연결</t>
    </r>
    <phoneticPr fontId="3" type="noConversion"/>
  </si>
  <si>
    <t>① 판매비와 관리비에 포함된 부가가치구성의 과목과 금액(주석)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</si>
  <si>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당기에 비용으로 인식한 연구비와 경상개발비의 총액(주석)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</si>
  <si>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무형자산의 상각액이 포함되어 있는 손익계산서의 계정과목과 상각금액(주석)</t>
    </r>
    <phoneticPr fontId="3" type="noConversion"/>
  </si>
  <si>
    <t>판매관리비용이 성격에 따라 적절히 분류되었는지를 파악한다. 특히, 판매관리비와 제조원가의 혼동, 판매관리비와 영업외비용의</t>
    <phoneticPr fontId="3" type="noConversion"/>
  </si>
  <si>
    <t>혼동에 유의한다.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</si>
  <si>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판매비와 관리비에 포함된 부가가치구성의 과목과 금액(주석)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</si>
  <si>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무형자산의 상각액이 포함되어 있는 손익계산서의 계정과목과 상각금액(주석)</t>
    </r>
    <phoneticPr fontId="3" type="noConversion"/>
  </si>
  <si>
    <t>전력비, 수도료, 임차료, 사용료등 매월 지급되는 비용은 최종월지급분의 계상유무를 검토한다.</t>
    <phoneticPr fontId="3" type="noConversion"/>
  </si>
  <si>
    <t>영업외수익및 영업외비용계정의 월별 명세서를 징구하여 다음의 절차를 수행한다.</t>
  </si>
  <si>
    <t>영업외수익 및 영업외비용 비교분석표 작성</t>
    <phoneticPr fontId="3" type="noConversion"/>
  </si>
  <si>
    <t>영업외수익 및 영업외비용 월별명세서</t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</si>
  <si>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보조부 및 총계정원장과 대조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</si>
  <si>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보조부를 개관하여 특별한 금액이 있으면 증빙을 검토 </t>
    </r>
    <phoneticPr fontId="3" type="noConversion"/>
  </si>
  <si>
    <t>영업외수익과 관련하여 다음의 항목은 자산의 또는 부채의 감사조서와 연결하여 전반적 합리성을 검토한다.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</si>
  <si>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이자수익은 해당 이자부자산조서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</si>
  <si>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대손충당금환입은 해당자산조서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</si>
  <si>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임대료는 임대보증금 조서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</si>
  <si>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단기매매증권평가(처분)이익, 매도가능증권처분이익, 지분법평가(지분법적용주식처분)이익, 배당금수익은 유가증권조서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</si>
  <si>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자산감액손실환입은 해당자산조서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</si>
  <si>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외환차익, 외화환산이익은 해당자산조서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</si>
  <si>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유형자산처분이익은 유형자산조서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</si>
  <si>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사채상환이익은 사채조서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</si>
  <si>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법인세환급액은 법인세관련조서</t>
    </r>
    <phoneticPr fontId="3" type="noConversion"/>
  </si>
  <si>
    <r>
      <t>⑩</t>
    </r>
    <r>
      <rPr>
        <sz val="10"/>
        <rFont val="맑은 고딕"/>
        <family val="3"/>
        <charset val="129"/>
        <scheme val="major"/>
      </rPr>
      <t xml:space="preserve"> 전기오류수정이익은 해당 자산 또는 부채조서</t>
    </r>
    <phoneticPr fontId="3" type="noConversion"/>
  </si>
  <si>
    <t>영업외비용과 관련하여 다음의 항목은 자산의 또는 부채의 감사조서와 연결하여 전반적 합리성을 검토한다.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</si>
  <si>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이자비용은 해당이자부부채조서(금융비용을 재고자산이나 투자자산 또는 유형자산의 취득원가로 계상한 경우에는 관련자산 조서)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</si>
  <si>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매출채권처분손실은 매출채권조서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</si>
  <si>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재고자산평가손실(원가성이 없는 재고자산감모손실을 포함한다)은 재고자산조서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</si>
  <si>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단기매매증권평가(처분)손실, 매도가능증권처분손실, 지분법평가(지분법적용주식처분)손실은 유가증권조서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</si>
  <si>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자산감액손실은 해당자산조서</t>
    </r>
    <phoneticPr fontId="3" type="noConversion"/>
  </si>
  <si>
    <t>⑥ 외환차손, 외화환산손실은 관련 외화자산부채계정조서</t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</si>
  <si>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유형자산처분손실은 관련유형자산 조서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</si>
  <si>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사채상환손실은 사채조서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</si>
  <si>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 법인세추납액은 법인세관련 조서</t>
    </r>
    <phoneticPr fontId="3" type="noConversion"/>
  </si>
  <si>
    <r>
      <t>⑩</t>
    </r>
    <r>
      <rPr>
        <sz val="10"/>
        <rFont val="맑은 고딕"/>
        <family val="3"/>
        <charset val="129"/>
        <scheme val="major"/>
      </rPr>
      <t xml:space="preserve"> 전기오류수정손실은 해당 자산 또는 부채조서</t>
    </r>
    <phoneticPr fontId="3" type="noConversion"/>
  </si>
  <si>
    <t>영업외수익 및 영업외비용 인식기준의 검토</t>
    <phoneticPr fontId="3" type="noConversion"/>
  </si>
  <si>
    <t>① 토지 또는 건물등의 처분이익(손실)은 잔금청산일, 소유권이전등기일 또는 매입자의 사용가능일중 가장 빠른날에 실현되는 것으로 하였는가</t>
    <phoneticPr fontId="3" type="noConversion"/>
  </si>
  <si>
    <t>② 원금 또는 이자의 회수가 불확실한 채권의 기간경과분에 대한 이자수익은 현금을 수취하는 시점에 인식하였는가</t>
    <phoneticPr fontId="3" type="noConversion"/>
  </si>
  <si>
    <t xml:space="preserve">영업외손익계정중 영업손익항목이 있지 않은지 혹은 판관비로 계상된 금액중 영업외손실에 계상될 항목은 없는지를 확인한다. </t>
    <phoneticPr fontId="3" type="noConversion"/>
  </si>
  <si>
    <t>① 외화자산과 부채의 환산기준 및 환산손익의 내용(주석)</t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</si>
  <si>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자산감액손실 관련 사항(주석)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</si>
  <si>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전기오류수정손익의 내용(주석)</t>
    </r>
    <phoneticPr fontId="3" type="noConversion"/>
  </si>
  <si>
    <t xml:space="preserve">④ 특수관계자와의 거래내용(주석) </t>
    <phoneticPr fontId="3" type="noConversion"/>
  </si>
  <si>
    <t>일시적차이와 비일시적차이로 구분하여 다음사항을 확인한다.</t>
  </si>
  <si>
    <t>법인세비용의 계산과 관련하여 다음 사항을 확인한다.</t>
  </si>
  <si>
    <t>법인세 과목에 대한 총괄표 작성</t>
    <phoneticPr fontId="3" type="noConversion"/>
  </si>
  <si>
    <t xml:space="preserve">당기말잔액은 총계정원장과 전기말잔액은 전기감사보고서와 각각 대조하고 양년도간에 특별한 변동사항이 있는 경우에는 그 </t>
    <phoneticPr fontId="3" type="noConversion"/>
  </si>
  <si>
    <t>2</t>
    <phoneticPr fontId="3" type="noConversion"/>
  </si>
  <si>
    <t>전기분 세무조정내용</t>
    <phoneticPr fontId="3" type="noConversion"/>
  </si>
  <si>
    <t>전기분 세무조정계산서와 결정결의서등을 검토하여 전기분 법인세신고서 초안과의 일치여부를 확인하고 환급, 수정신고, 경정이</t>
    <phoneticPr fontId="3" type="noConversion"/>
  </si>
  <si>
    <t xml:space="preserve">있었던 경우 그 회계처리의 타당성 검토 및 당기분 법인세계산에 영향을 미치거나 고려되어야할 유보사항 등을 검토한다. </t>
    <phoneticPr fontId="3" type="noConversion"/>
  </si>
  <si>
    <t>당기분 법인세 신고서의 검토</t>
    <phoneticPr fontId="3" type="noConversion"/>
  </si>
  <si>
    <t>법인세신고서 초안을 입수하여 회사의 각종 장부 및 감사조서와 대조확인하고, 부인될 가능성이 있는 항목이 있는 경우 해당항목</t>
    <phoneticPr fontId="3" type="noConversion"/>
  </si>
  <si>
    <t>에 관한 회계처리 또는 공시의 타당성을 검토한다.</t>
    <phoneticPr fontId="3" type="noConversion"/>
  </si>
  <si>
    <t>당기 회계이익과 과세소득과의 차이</t>
    <phoneticPr fontId="3" type="noConversion"/>
  </si>
  <si>
    <t>당기 법인세비용 및 미지급법인세</t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</si>
  <si>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당기 과세소득에 가산할 일시적차이와 차감할 일시적차이의 내용과 금액의 누락여부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</si>
  <si>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비일시적차이로 당기 과세소득에 익금산입하거나 손금으로 인정될 사항의 내용과 금액의 누락여부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</si>
  <si>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비과세소득과 소득공제내용이 적정하게 계상되었는지 여부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</si>
  <si>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이월결손금이 있는 경우 세무상 적절한 처리여부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</si>
  <si>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자본에 가감되는 이연법인세자산(부채)와 법인세부담액</t>
    </r>
    <phoneticPr fontId="3" type="noConversion"/>
  </si>
  <si>
    <r>
      <t>②</t>
    </r>
    <r>
      <rPr>
        <sz val="10"/>
        <rFont val="맑은 고딕"/>
        <family val="3"/>
        <charset val="129"/>
        <scheme val="major"/>
      </rPr>
      <t xml:space="preserve"> 최저한세규정에 해당 여부</t>
    </r>
    <phoneticPr fontId="3" type="noConversion"/>
  </si>
  <si>
    <r>
      <t>③</t>
    </r>
    <r>
      <rPr>
        <sz val="10"/>
        <rFont val="맑은 고딕"/>
        <family val="3"/>
        <charset val="129"/>
        <scheme val="major"/>
      </rPr>
      <t xml:space="preserve"> 산출세액의 계산</t>
    </r>
    <phoneticPr fontId="3" type="noConversion"/>
  </si>
  <si>
    <r>
      <t>④</t>
    </r>
    <r>
      <rPr>
        <sz val="10"/>
        <rFont val="맑은 고딕"/>
        <family val="3"/>
        <charset val="129"/>
        <scheme val="major"/>
      </rPr>
      <t xml:space="preserve"> 공제감면세액이 적정한지 관련법규와 증빙서류를 확인</t>
    </r>
    <phoneticPr fontId="3" type="noConversion"/>
  </si>
  <si>
    <r>
      <t>⑤</t>
    </r>
    <r>
      <rPr>
        <sz val="10"/>
        <rFont val="맑은 고딕"/>
        <family val="3"/>
        <charset val="129"/>
        <scheme val="major"/>
      </rPr>
      <t xml:space="preserve"> 일시적차이 및 이월결손금에 대한 미래 법인세효과의 산정과 기간배분의 적정성</t>
    </r>
    <phoneticPr fontId="3" type="noConversion"/>
  </si>
  <si>
    <r>
      <t>⑥</t>
    </r>
    <r>
      <rPr>
        <sz val="10"/>
        <rFont val="맑은 고딕"/>
        <family val="3"/>
        <charset val="129"/>
        <scheme val="major"/>
      </rPr>
      <t xml:space="preserve"> 이연법인세자산(부채)의 유동성 분류 및 금액의 적정한 계상여부 및 실현가능성</t>
    </r>
    <phoneticPr fontId="3" type="noConversion"/>
  </si>
  <si>
    <r>
      <t>⑦</t>
    </r>
    <r>
      <rPr>
        <sz val="10"/>
        <rFont val="맑은 고딕"/>
        <family val="3"/>
        <charset val="129"/>
        <scheme val="major"/>
      </rPr>
      <t xml:space="preserve"> 법인세에 부가되는 세액(법인세할 주민세, 농특세등)이 포함되었는지 여부</t>
    </r>
    <phoneticPr fontId="3" type="noConversion"/>
  </si>
  <si>
    <r>
      <t>⑧</t>
    </r>
    <r>
      <rPr>
        <sz val="10"/>
        <rFont val="맑은 고딕"/>
        <family val="3"/>
        <charset val="129"/>
        <scheme val="major"/>
      </rPr>
      <t xml:space="preserve"> 중간예납과 원천납부세액이 적정한지 보조부와 영수증등을 대조 확인</t>
    </r>
    <phoneticPr fontId="3" type="noConversion"/>
  </si>
  <si>
    <r>
      <t>⑨</t>
    </r>
    <r>
      <rPr>
        <sz val="10"/>
        <rFont val="맑은 고딕"/>
        <family val="3"/>
        <charset val="129"/>
        <scheme val="major"/>
      </rPr>
      <t xml:space="preserve">차감납부할 세액은 미지급법인세계정과 연결하여 대조하고 차이가 있을 경우 그 원인을 규명 </t>
    </r>
    <phoneticPr fontId="3" type="noConversion"/>
  </si>
  <si>
    <r>
      <t>①</t>
    </r>
    <r>
      <rPr>
        <sz val="10"/>
        <rFont val="맑은 고딕"/>
        <family val="3"/>
        <charset val="129"/>
        <scheme val="major"/>
      </rPr>
      <t xml:space="preserve"> 법인세비용(주석)</t>
    </r>
    <phoneticPr fontId="3" type="noConversion"/>
  </si>
  <si>
    <t xml:space="preserve">  ⓐ 법인세비용의 구성내역 </t>
    <phoneticPr fontId="3" type="noConversion"/>
  </si>
  <si>
    <r>
      <t xml:space="preserve">  </t>
    </r>
    <r>
      <rPr>
        <sz val="10"/>
        <rFont val="맑은 고딕"/>
        <family val="3"/>
        <charset val="129"/>
      </rPr>
      <t>ⓑ</t>
    </r>
    <r>
      <rPr>
        <sz val="10"/>
        <rFont val="맑은 고딕"/>
        <family val="3"/>
        <charset val="129"/>
        <scheme val="major"/>
      </rPr>
      <t xml:space="preserve"> 회계이익과 과세소득간 주요세무조정항목별 내역</t>
    </r>
    <phoneticPr fontId="3" type="noConversion"/>
  </si>
  <si>
    <r>
      <t xml:space="preserve">  </t>
    </r>
    <r>
      <rPr>
        <sz val="10"/>
        <rFont val="맑은 고딕"/>
        <family val="3"/>
        <charset val="129"/>
      </rPr>
      <t>ⓒ</t>
    </r>
    <r>
      <rPr>
        <sz val="10"/>
        <rFont val="맑은 고딕"/>
        <family val="3"/>
        <charset val="129"/>
        <scheme val="major"/>
      </rPr>
      <t xml:space="preserve"> 누적적 일시적차이 및 이연법인세 자산(부채)의 증감내역</t>
    </r>
    <phoneticPr fontId="3" type="noConversion"/>
  </si>
  <si>
    <t xml:space="preserve">  ⓓ 모든 차감할 일시적차이 및 세무상 결손금에 대한 이연법인세자산 및 실현가능성 판단근거</t>
    <phoneticPr fontId="3" type="noConversion"/>
  </si>
  <si>
    <r>
      <t xml:space="preserve">  </t>
    </r>
    <r>
      <rPr>
        <sz val="10"/>
        <rFont val="맑은 고딕"/>
        <family val="3"/>
        <charset val="129"/>
      </rPr>
      <t>ⓔ</t>
    </r>
    <r>
      <rPr>
        <sz val="10"/>
        <rFont val="맑은 고딕"/>
        <family val="3"/>
        <charset val="129"/>
        <scheme val="major"/>
      </rPr>
      <t xml:space="preserve"> 상계전 총액기준에 의한 이연법인세자산과 부채 및 미지급법인세와 미수법인세 환급액</t>
    </r>
    <phoneticPr fontId="3" type="noConversion"/>
  </si>
  <si>
    <r>
      <t xml:space="preserve">  ⓕ</t>
    </r>
    <r>
      <rPr>
        <sz val="10"/>
        <rFont val="맑은 고딕"/>
        <family val="3"/>
        <charset val="129"/>
        <scheme val="major"/>
      </rPr>
      <t xml:space="preserve"> 세무상 결손금과 관련한 사항</t>
    </r>
    <phoneticPr fontId="3" type="noConversion"/>
  </si>
  <si>
    <t xml:space="preserve">  ⓖ 유효세율(법인세비용/법인세비용차감전순이익)</t>
    <phoneticPr fontId="3" type="noConversion"/>
  </si>
  <si>
    <r>
      <rPr>
        <sz val="10"/>
        <rFont val="맑은 고딕"/>
        <family val="3"/>
        <charset val="129"/>
      </rPr>
      <t xml:space="preserve">  ⓗ</t>
    </r>
    <r>
      <rPr>
        <sz val="10"/>
        <rFont val="맑은 고딕"/>
        <family val="3"/>
        <charset val="129"/>
        <scheme val="major"/>
      </rPr>
      <t xml:space="preserve"> 기타</t>
    </r>
    <phoneticPr fontId="3" type="noConversion"/>
  </si>
  <si>
    <r>
      <rPr>
        <sz val="10"/>
        <rFont val="맑은 고딕"/>
        <family val="3"/>
        <charset val="129"/>
      </rPr>
      <t>②</t>
    </r>
    <r>
      <rPr>
        <sz val="10"/>
        <rFont val="맑은 고딕"/>
        <family val="3"/>
        <charset val="129"/>
        <scheme val="major"/>
      </rPr>
      <t xml:space="preserve"> 비상장중소기업으로 기업회계기준서 제14호(중소기업회계처리특례 문단12)에 따라 법인세등 계정으로 계상한 경우 주석 기재</t>
    </r>
    <phoneticPr fontId="3" type="noConversion"/>
  </si>
  <si>
    <t>관계법령에 의한 준비금 등의 손금산입이 있는 경우에는 이익잉여금처분계산서의 처분내용에 해당준비금 등이 적정하게 반영</t>
    <phoneticPr fontId="3" type="noConversion"/>
  </si>
  <si>
    <t>되었는지 검토한다.</t>
    <phoneticPr fontId="3" type="noConversion"/>
  </si>
  <si>
    <t>자산수증이익과 채무면제이익(법인세법상 이월결손금에 충당된 금액을 제외후 익금), 자기주식처분손익이 있는 경우에는 소득</t>
    <phoneticPr fontId="3" type="noConversion"/>
  </si>
  <si>
    <t xml:space="preserve">조정사항에 포함되었는지 여부를 검토한다. </t>
    <phoneticPr fontId="3" type="noConversion"/>
  </si>
  <si>
    <t>국세나 지방세 중 과세당국의 처분에 불복하여 이의신청 또는 심판청구중이거나, 최근의 세무실사에 의해 감사일 현재 과년도</t>
    <phoneticPr fontId="3" type="noConversion"/>
  </si>
  <si>
    <t xml:space="preserve">분의 확정고지세액이 있는 경우, 그 중요성에 따라 감사보고서 기재 여부 및 전기오류수정손실계정에 처리여부, 전기 및 당기의 </t>
    <phoneticPr fontId="3" type="noConversion"/>
  </si>
  <si>
    <t>미지급법인세와 이연법인세자산(부채)에 미치는 효과를 검토한다.</t>
    <phoneticPr fontId="3" type="noConversion"/>
  </si>
  <si>
    <t>소득금액조정합계표</t>
    <phoneticPr fontId="5" type="noConversion"/>
  </si>
  <si>
    <t>익금산입 및 손금불산입</t>
    <phoneticPr fontId="7" type="noConversion"/>
  </si>
  <si>
    <t>손금산입 및 익금불산입</t>
    <phoneticPr fontId="7" type="noConversion"/>
  </si>
  <si>
    <t>과 목</t>
    <phoneticPr fontId="7" type="noConversion"/>
  </si>
  <si>
    <t>금 액</t>
    <phoneticPr fontId="7" type="noConversion"/>
  </si>
  <si>
    <t>처 분</t>
    <phoneticPr fontId="7" type="noConversion"/>
  </si>
  <si>
    <t>과목별 세무조정사항 집계</t>
    <phoneticPr fontId="5" type="noConversion"/>
  </si>
  <si>
    <t>1.</t>
    <phoneticPr fontId="110" type="noConversion"/>
  </si>
  <si>
    <t>구 분</t>
    <phoneticPr fontId="7" type="noConversion"/>
  </si>
  <si>
    <t>당기초 잔액</t>
    <phoneticPr fontId="7" type="noConversion"/>
  </si>
  <si>
    <t>계</t>
    <phoneticPr fontId="7" type="noConversion"/>
  </si>
  <si>
    <t>한도율</t>
    <phoneticPr fontId="7" type="noConversion"/>
  </si>
  <si>
    <t>일반접대비</t>
    <phoneticPr fontId="7" type="noConversion"/>
  </si>
  <si>
    <t>경조사비</t>
    <phoneticPr fontId="7" type="noConversion"/>
  </si>
  <si>
    <t>1만원이하</t>
    <phoneticPr fontId="7" type="noConversion"/>
  </si>
  <si>
    <t>1만원초과</t>
    <phoneticPr fontId="7" type="noConversion"/>
  </si>
  <si>
    <t>20만원초과</t>
    <phoneticPr fontId="7" type="noConversion"/>
  </si>
  <si>
    <t>일반</t>
  </si>
  <si>
    <t>신용카드</t>
  </si>
  <si>
    <t>Date</t>
    <phoneticPr fontId="3" type="noConversion"/>
  </si>
  <si>
    <t>유보</t>
    <phoneticPr fontId="3" type="noConversion"/>
  </si>
  <si>
    <t>기타사외유출</t>
    <phoneticPr fontId="3" type="noConversion"/>
  </si>
  <si>
    <t>총급여 및 퇴직급여충당금명세</t>
    <phoneticPr fontId="7" type="noConversion"/>
  </si>
  <si>
    <t>T20</t>
    <phoneticPr fontId="7" type="noConversion"/>
  </si>
  <si>
    <t>인 원</t>
    <phoneticPr fontId="7" type="noConversion"/>
  </si>
  <si>
    <t>급 여</t>
    <phoneticPr fontId="7" type="noConversion"/>
  </si>
  <si>
    <t>총급여액</t>
    <phoneticPr fontId="3" type="noConversion"/>
  </si>
  <si>
    <t>퇴직급여 지급대상 급여</t>
    <phoneticPr fontId="3" type="noConversion"/>
  </si>
  <si>
    <t>지급대상 제외 인원 급여</t>
    <phoneticPr fontId="3" type="noConversion"/>
  </si>
  <si>
    <t>장부상 급여</t>
    <phoneticPr fontId="3" type="noConversion"/>
  </si>
  <si>
    <t>차이여부</t>
    <phoneticPr fontId="3" type="noConversion"/>
  </si>
  <si>
    <t>1) 당기설정 퇴직급여 세부</t>
    <phoneticPr fontId="7" type="noConversion"/>
  </si>
  <si>
    <t>퇴직급여 대상 인원 급여</t>
    <phoneticPr fontId="3" type="noConversion"/>
  </si>
  <si>
    <t>설정율</t>
    <phoneticPr fontId="3" type="noConversion"/>
  </si>
  <si>
    <t>한도액</t>
    <phoneticPr fontId="3" type="noConversion"/>
  </si>
  <si>
    <t>추계기준 한도</t>
    <phoneticPr fontId="3" type="noConversion"/>
  </si>
  <si>
    <t>급여기준 한도</t>
    <phoneticPr fontId="3" type="noConversion"/>
  </si>
  <si>
    <t>기초 충당금</t>
    <phoneticPr fontId="3" type="noConversion"/>
  </si>
  <si>
    <t>충당금부인누계</t>
    <phoneticPr fontId="3" type="noConversion"/>
  </si>
  <si>
    <t>기중퇴직금지급액</t>
    <phoneticPr fontId="3" type="noConversion"/>
  </si>
  <si>
    <t>차감액</t>
    <phoneticPr fontId="3" type="noConversion"/>
  </si>
  <si>
    <t>기말현재 퇴직금추계액</t>
    <phoneticPr fontId="3" type="noConversion"/>
  </si>
  <si>
    <t>퇴직급여충당금</t>
    <phoneticPr fontId="3" type="noConversion"/>
  </si>
  <si>
    <t>유보</t>
  </si>
  <si>
    <t>한도 초과액 계산</t>
    <phoneticPr fontId="3" type="noConversion"/>
  </si>
  <si>
    <t>회사계상액</t>
    <phoneticPr fontId="3" type="noConversion"/>
  </si>
  <si>
    <t>한도초과액</t>
    <phoneticPr fontId="3" type="noConversion"/>
  </si>
  <si>
    <t>국민연금전환금</t>
    <phoneticPr fontId="3" type="noConversion"/>
  </si>
  <si>
    <t>2) 퇴직금추계액 및 국민연금전환금 내역</t>
    <phoneticPr fontId="7" type="noConversion"/>
  </si>
  <si>
    <t>내 역</t>
    <phoneticPr fontId="3" type="noConversion"/>
  </si>
  <si>
    <t>퇴직급여충당금 세무조정</t>
    <phoneticPr fontId="7" type="noConversion"/>
  </si>
  <si>
    <t>퇴직급여충당부채 세무조정</t>
    <phoneticPr fontId="7" type="noConversion"/>
  </si>
  <si>
    <t>퇴직보험료 세무조정</t>
    <phoneticPr fontId="3" type="noConversion"/>
  </si>
  <si>
    <t>퇴직보험료세무조정</t>
    <phoneticPr fontId="3" type="noConversion"/>
  </si>
  <si>
    <t>(1)</t>
    <phoneticPr fontId="3" type="noConversion"/>
  </si>
  <si>
    <t>기말퇴직보험예치금 계산</t>
    <phoneticPr fontId="3" type="noConversion"/>
  </si>
  <si>
    <t>기말퇴직보험예치금</t>
    <phoneticPr fontId="3" type="noConversion"/>
  </si>
  <si>
    <t>기초퇴직보험예치금</t>
    <phoneticPr fontId="3" type="noConversion"/>
  </si>
  <si>
    <t>기중 예치금 수령액</t>
    <phoneticPr fontId="3" type="noConversion"/>
  </si>
  <si>
    <t>당기 예치금 납입액</t>
    <phoneticPr fontId="3" type="noConversion"/>
  </si>
  <si>
    <t>기말 퇴직보험예치금</t>
    <phoneticPr fontId="3" type="noConversion"/>
  </si>
  <si>
    <t>(2)</t>
    <phoneticPr fontId="3" type="noConversion"/>
  </si>
  <si>
    <t>이미손금산입보험료 계산 및 손금산입대상보험료</t>
    <phoneticPr fontId="3" type="noConversion"/>
  </si>
  <si>
    <t>전기말 퇴직보험료 유보</t>
    <phoneticPr fontId="3" type="noConversion"/>
  </si>
  <si>
    <t>이미손금산입한 보험료</t>
    <phoneticPr fontId="3" type="noConversion"/>
  </si>
  <si>
    <t>손금산입대상보험료</t>
    <phoneticPr fontId="3" type="noConversion"/>
  </si>
  <si>
    <t>기말 퇴직금추계액</t>
    <phoneticPr fontId="3" type="noConversion"/>
  </si>
  <si>
    <t>기말 퇴직급여충당부채</t>
    <phoneticPr fontId="3" type="noConversion"/>
  </si>
  <si>
    <t>3) 퇴직급여충당금 변동액</t>
    <phoneticPr fontId="7" type="noConversion"/>
  </si>
  <si>
    <t>당기 설정액</t>
    <phoneticPr fontId="7" type="noConversion"/>
  </si>
  <si>
    <t>당기 지급액</t>
    <phoneticPr fontId="7" type="noConversion"/>
  </si>
  <si>
    <t>당기말 잔액</t>
    <phoneticPr fontId="7" type="noConversion"/>
  </si>
  <si>
    <t>퇴충 부인액 누계</t>
    <phoneticPr fontId="3" type="noConversion"/>
  </si>
  <si>
    <t>이미 손금산입된 보험료</t>
    <phoneticPr fontId="3" type="noConversion"/>
  </si>
  <si>
    <t>손금산입 누적 한도액</t>
    <phoneticPr fontId="3" type="noConversion"/>
  </si>
  <si>
    <t>손금산입한도액</t>
    <phoneticPr fontId="3" type="noConversion"/>
  </si>
  <si>
    <t>손금산입대상 보험료</t>
    <phoneticPr fontId="3" type="noConversion"/>
  </si>
  <si>
    <t>손금산입범위액</t>
    <phoneticPr fontId="3" type="noConversion"/>
  </si>
  <si>
    <t>회사손금산입액</t>
    <phoneticPr fontId="3" type="noConversion"/>
  </si>
  <si>
    <t>조정금액</t>
    <phoneticPr fontId="3" type="noConversion"/>
  </si>
  <si>
    <t>퇴직보험충당금</t>
    <phoneticPr fontId="3" type="noConversion"/>
  </si>
  <si>
    <t>퇴직급여충당금(전기)</t>
    <phoneticPr fontId="3" type="noConversion"/>
  </si>
  <si>
    <t>퇴직급여충당금(당기)</t>
    <phoneticPr fontId="3" type="noConversion"/>
  </si>
  <si>
    <t>퇴직급여충당금(상계)</t>
    <phoneticPr fontId="3" type="noConversion"/>
  </si>
  <si>
    <t>퇴직보험충당금(당기)</t>
    <phoneticPr fontId="3" type="noConversion"/>
  </si>
  <si>
    <t>퇴직보험충당금(상계)</t>
    <phoneticPr fontId="3" type="noConversion"/>
  </si>
  <si>
    <t>- 당기지급액 구분</t>
    <phoneticPr fontId="3" type="noConversion"/>
  </si>
  <si>
    <t>퇴직급여충당금분</t>
    <phoneticPr fontId="3" type="noConversion"/>
  </si>
  <si>
    <t>퇴직보험예치금분</t>
    <phoneticPr fontId="3" type="noConversion"/>
  </si>
  <si>
    <t>비 고</t>
    <phoneticPr fontId="3" type="noConversion"/>
  </si>
  <si>
    <t>옳은 회계처리분</t>
    <phoneticPr fontId="3" type="noConversion"/>
  </si>
  <si>
    <t>오기 회계처리분</t>
    <phoneticPr fontId="3" type="noConversion"/>
  </si>
  <si>
    <t>계</t>
    <phoneticPr fontId="3" type="noConversion"/>
  </si>
  <si>
    <t>퇴직보험예치금</t>
    <phoneticPr fontId="3" type="noConversion"/>
  </si>
  <si>
    <t>손금산입</t>
    <phoneticPr fontId="3" type="noConversion"/>
  </si>
  <si>
    <t>손금불산입</t>
    <phoneticPr fontId="3" type="noConversion"/>
  </si>
  <si>
    <t>퇴직급여충당금에서 차감된 퇴직보험예치금 지급분 세무조정</t>
    <phoneticPr fontId="3" type="noConversion"/>
  </si>
  <si>
    <t>기초잔액</t>
    <phoneticPr fontId="7" type="noConversion"/>
  </si>
  <si>
    <t>감 소</t>
    <phoneticPr fontId="7" type="noConversion"/>
  </si>
  <si>
    <t>증 가</t>
    <phoneticPr fontId="7" type="noConversion"/>
  </si>
  <si>
    <t>기말잔액</t>
    <phoneticPr fontId="7" type="noConversion"/>
  </si>
  <si>
    <t>당기 중 증감</t>
    <phoneticPr fontId="3" type="noConversion"/>
  </si>
  <si>
    <t>합 계</t>
    <phoneticPr fontId="3" type="noConversion"/>
  </si>
  <si>
    <t>대손충당금 세무조정</t>
    <phoneticPr fontId="3" type="noConversion"/>
  </si>
  <si>
    <t>대손충당금 변동액</t>
    <phoneticPr fontId="3" type="noConversion"/>
  </si>
  <si>
    <t>당기 상계액</t>
    <phoneticPr fontId="7" type="noConversion"/>
  </si>
  <si>
    <t>대손설정채권 정리</t>
    <phoneticPr fontId="3" type="noConversion"/>
  </si>
  <si>
    <t>계정과목</t>
    <phoneticPr fontId="3" type="noConversion"/>
  </si>
  <si>
    <t>외상매출금</t>
    <phoneticPr fontId="3" type="noConversion"/>
  </si>
  <si>
    <t>대손충당금</t>
    <phoneticPr fontId="3" type="noConversion"/>
  </si>
  <si>
    <t>채권 장부가</t>
    <phoneticPr fontId="3" type="noConversion"/>
  </si>
  <si>
    <t>기말현재 대손금부인누계</t>
    <phoneticPr fontId="3" type="noConversion"/>
  </si>
  <si>
    <t>충당금 설정 제외채권</t>
    <phoneticPr fontId="3" type="noConversion"/>
  </si>
  <si>
    <t>채권잔액</t>
    <phoneticPr fontId="3" type="noConversion"/>
  </si>
  <si>
    <t>손금산입액 조정</t>
    <phoneticPr fontId="3" type="noConversion"/>
  </si>
  <si>
    <t>당기계상액</t>
    <phoneticPr fontId="3" type="noConversion"/>
  </si>
  <si>
    <t>보충액</t>
    <phoneticPr fontId="3" type="noConversion"/>
  </si>
  <si>
    <t>익금산입액 조정</t>
    <phoneticPr fontId="3" type="noConversion"/>
  </si>
  <si>
    <t>장부상 충당금 기초잔액</t>
    <phoneticPr fontId="3" type="noConversion"/>
  </si>
  <si>
    <t>기중 충당금 환입액</t>
    <phoneticPr fontId="3" type="noConversion"/>
  </si>
  <si>
    <t>당기 대손금 상계액</t>
    <phoneticPr fontId="3" type="noConversion"/>
  </si>
  <si>
    <t>당기설정 보충액</t>
    <phoneticPr fontId="3" type="noConversion"/>
  </si>
  <si>
    <t>환입할 금액</t>
    <phoneticPr fontId="3" type="noConversion"/>
  </si>
  <si>
    <t>접대비 세무조정</t>
    <phoneticPr fontId="3" type="noConversion"/>
  </si>
  <si>
    <t>수입금액 정리</t>
    <phoneticPr fontId="3" type="noConversion"/>
  </si>
  <si>
    <t>일반수입금액</t>
    <phoneticPr fontId="3" type="noConversion"/>
  </si>
  <si>
    <t>I/S상 매출액</t>
    <phoneticPr fontId="3" type="noConversion"/>
  </si>
  <si>
    <t>구 분</t>
    <phoneticPr fontId="7" type="noConversion"/>
  </si>
  <si>
    <t>일반접대비</t>
    <phoneticPr fontId="7" type="noConversion"/>
  </si>
  <si>
    <t>경조사비</t>
    <phoneticPr fontId="7" type="noConversion"/>
  </si>
  <si>
    <t>1만원이하</t>
    <phoneticPr fontId="7" type="noConversion"/>
  </si>
  <si>
    <t>1만원초과</t>
    <phoneticPr fontId="7" type="noConversion"/>
  </si>
  <si>
    <t>20만원초과</t>
    <phoneticPr fontId="7" type="noConversion"/>
  </si>
  <si>
    <t>접대비 해당금액 정리</t>
    <phoneticPr fontId="3" type="noConversion"/>
  </si>
  <si>
    <t>접대비</t>
    <phoneticPr fontId="3" type="noConversion"/>
  </si>
  <si>
    <t>계정금액</t>
    <phoneticPr fontId="3" type="noConversion"/>
  </si>
  <si>
    <t>I/S상 접대비</t>
    <phoneticPr fontId="3" type="noConversion"/>
  </si>
  <si>
    <t>사적사용경비</t>
    <phoneticPr fontId="3" type="noConversion"/>
  </si>
  <si>
    <t>접대비 해당금액</t>
    <phoneticPr fontId="3" type="noConversion"/>
  </si>
  <si>
    <t>경조사비</t>
    <phoneticPr fontId="3" type="noConversion"/>
  </si>
  <si>
    <t>지출총액</t>
    <phoneticPr fontId="3" type="noConversion"/>
  </si>
  <si>
    <t>신용카드 미사용</t>
    <phoneticPr fontId="3" type="noConversion"/>
  </si>
  <si>
    <t>국외지출</t>
    <phoneticPr fontId="3" type="noConversion"/>
  </si>
  <si>
    <t>접대비 중 기준초과액</t>
    <phoneticPr fontId="3" type="noConversion"/>
  </si>
  <si>
    <t>신용카드 미사용부인액</t>
    <phoneticPr fontId="3" type="noConversion"/>
  </si>
  <si>
    <t>접대비 부인액</t>
    <phoneticPr fontId="3" type="noConversion"/>
  </si>
  <si>
    <t>접대비(사적비용)</t>
    <phoneticPr fontId="3" type="noConversion"/>
  </si>
  <si>
    <t>접대비(지출증빙)</t>
    <phoneticPr fontId="3" type="noConversion"/>
  </si>
  <si>
    <t>접대비(한도초과)</t>
    <phoneticPr fontId="3" type="noConversion"/>
  </si>
  <si>
    <t>국외지출</t>
    <phoneticPr fontId="7" type="noConversion"/>
  </si>
  <si>
    <t>접대비 한도초과액 계산</t>
    <phoneticPr fontId="3" type="noConversion"/>
  </si>
  <si>
    <t>중소기업</t>
    <phoneticPr fontId="3" type="noConversion"/>
  </si>
  <si>
    <t>여</t>
    <phoneticPr fontId="3" type="noConversion"/>
  </si>
  <si>
    <t>부</t>
    <phoneticPr fontId="3" type="noConversion"/>
  </si>
  <si>
    <t>사업연도월수</t>
    <phoneticPr fontId="3" type="noConversion"/>
  </si>
  <si>
    <t>기본접대비 한도</t>
    <phoneticPr fontId="3" type="noConversion"/>
  </si>
  <si>
    <t>총수입금액 기준</t>
    <phoneticPr fontId="3" type="noConversion"/>
  </si>
  <si>
    <t>100억 이하</t>
    <phoneticPr fontId="3" type="noConversion"/>
  </si>
  <si>
    <t>100억 초과 500억 이하</t>
    <phoneticPr fontId="3" type="noConversion"/>
  </si>
  <si>
    <t>500억 초과</t>
    <phoneticPr fontId="3" type="noConversion"/>
  </si>
  <si>
    <t>접대비한도율</t>
    <phoneticPr fontId="3" type="noConversion"/>
  </si>
  <si>
    <t>한도율</t>
    <phoneticPr fontId="3" type="noConversion"/>
  </si>
  <si>
    <t>누계분</t>
    <phoneticPr fontId="3" type="noConversion"/>
  </si>
  <si>
    <t>특수관계자간 금액</t>
    <phoneticPr fontId="3" type="noConversion"/>
  </si>
  <si>
    <t>일반수입금액 기준</t>
    <phoneticPr fontId="3" type="noConversion"/>
  </si>
  <si>
    <t>기타수입금액 기준</t>
    <phoneticPr fontId="3" type="noConversion"/>
  </si>
  <si>
    <t>문화접대비 지출액</t>
    <phoneticPr fontId="3" type="noConversion"/>
  </si>
  <si>
    <t>문화접대비 한도액</t>
    <phoneticPr fontId="3" type="noConversion"/>
  </si>
  <si>
    <t>접대비 총 지출액</t>
    <phoneticPr fontId="3" type="noConversion"/>
  </si>
  <si>
    <t>접대비한도액</t>
    <phoneticPr fontId="3" type="noConversion"/>
  </si>
  <si>
    <t>접대비 해당액</t>
    <phoneticPr fontId="3" type="noConversion"/>
  </si>
  <si>
    <t>차감접대비</t>
    <phoneticPr fontId="3" type="noConversion"/>
  </si>
  <si>
    <t>손금산입한도 내 접대비 지출액</t>
    <phoneticPr fontId="3" type="noConversion"/>
  </si>
  <si>
    <t>,.</t>
    <phoneticPr fontId="3" type="noConversion"/>
  </si>
  <si>
    <t>한도초과액</t>
    <phoneticPr fontId="3" type="noConversion"/>
  </si>
  <si>
    <t>신용카드 미사용 접대비</t>
    <phoneticPr fontId="3" type="noConversion"/>
  </si>
  <si>
    <t>외화환산손실</t>
    <phoneticPr fontId="3" type="noConversion"/>
  </si>
  <si>
    <t>외화환산이익</t>
    <phoneticPr fontId="3" type="noConversion"/>
  </si>
  <si>
    <t>미수수익</t>
    <phoneticPr fontId="3" type="noConversion"/>
  </si>
  <si>
    <t>지분법이익</t>
    <phoneticPr fontId="3" type="noConversion"/>
  </si>
  <si>
    <t>지분법손실</t>
    <phoneticPr fontId="3" type="noConversion"/>
  </si>
  <si>
    <t>단기매매증권평가손실</t>
    <phoneticPr fontId="3" type="noConversion"/>
  </si>
  <si>
    <t>단기매매증권평가이익</t>
    <phoneticPr fontId="3" type="noConversion"/>
  </si>
  <si>
    <t>과목별 세무조정사항(T202 제외)</t>
    <phoneticPr fontId="5" type="noConversion"/>
  </si>
  <si>
    <t>소득금액조정합계표 - 집계</t>
    <phoneticPr fontId="5" type="noConversion"/>
  </si>
  <si>
    <t>T(세무조정)</t>
    <phoneticPr fontId="7" type="noConversion"/>
  </si>
  <si>
    <t>Sheet 구분</t>
    <phoneticPr fontId="5" type="noConversion"/>
  </si>
  <si>
    <t>Sheet  No.</t>
    <phoneticPr fontId="3" type="noConversion"/>
  </si>
  <si>
    <t>시트 내역</t>
    <phoneticPr fontId="3" type="noConversion"/>
  </si>
  <si>
    <t>세무조정 및 세액계산</t>
    <phoneticPr fontId="3" type="noConversion"/>
  </si>
  <si>
    <t>T202</t>
    <phoneticPr fontId="7" type="noConversion"/>
  </si>
  <si>
    <t>세무조정 기본 Data 및 자동조정분</t>
    <phoneticPr fontId="3" type="noConversion"/>
  </si>
  <si>
    <t>T201</t>
    <phoneticPr fontId="3" type="noConversion"/>
  </si>
  <si>
    <t>T202</t>
    <phoneticPr fontId="3" type="noConversion"/>
  </si>
  <si>
    <t>2009년 주요 세무조정(퇴충, 퇴보충, 대손충, 접대비, 기부금(Link)</t>
    <phoneticPr fontId="3" type="noConversion"/>
  </si>
  <si>
    <t>기부금 세무조정</t>
    <phoneticPr fontId="3" type="noConversion"/>
  </si>
  <si>
    <t>익금산입</t>
    <phoneticPr fontId="3" type="noConversion"/>
  </si>
  <si>
    <t>해당 Sheet</t>
    <phoneticPr fontId="7" type="noConversion"/>
  </si>
  <si>
    <t>결산서상 법인세차감전순이익</t>
    <phoneticPr fontId="3" type="noConversion"/>
  </si>
  <si>
    <t>차가감 소득금액</t>
    <phoneticPr fontId="3" type="noConversion"/>
  </si>
  <si>
    <t>기부금 한도초과액</t>
    <phoneticPr fontId="3" type="noConversion"/>
  </si>
  <si>
    <t>기부금 한도초과 이월액손금산입</t>
    <phoneticPr fontId="3" type="noConversion"/>
  </si>
  <si>
    <t>각 사업연도 소득금액</t>
    <phoneticPr fontId="3" type="noConversion"/>
  </si>
  <si>
    <t>이월결손금</t>
    <phoneticPr fontId="3" type="noConversion"/>
  </si>
  <si>
    <t>비과세소득</t>
    <phoneticPr fontId="3" type="noConversion"/>
  </si>
  <si>
    <t>소득공제</t>
    <phoneticPr fontId="3" type="noConversion"/>
  </si>
  <si>
    <t>세율</t>
    <phoneticPr fontId="3" type="noConversion"/>
  </si>
  <si>
    <t>세율</t>
    <phoneticPr fontId="5" type="noConversion"/>
  </si>
  <si>
    <t>과세표준</t>
    <phoneticPr fontId="3" type="noConversion"/>
  </si>
  <si>
    <t>공제감면세액(ㄱ)</t>
    <phoneticPr fontId="3" type="noConversion"/>
  </si>
  <si>
    <t>차감세액</t>
    <phoneticPr fontId="3" type="noConversion"/>
  </si>
  <si>
    <t>공제감면세액(ㄴ)</t>
    <phoneticPr fontId="3" type="noConversion"/>
  </si>
  <si>
    <t>가산세액</t>
    <phoneticPr fontId="3" type="noConversion"/>
  </si>
  <si>
    <t>가감계</t>
    <phoneticPr fontId="3" type="noConversion"/>
  </si>
  <si>
    <t>기납부세액</t>
    <phoneticPr fontId="3" type="noConversion"/>
  </si>
  <si>
    <t>중간예납세액</t>
    <phoneticPr fontId="3" type="noConversion"/>
  </si>
  <si>
    <t>수시부과세액</t>
    <phoneticPr fontId="3" type="noConversion"/>
  </si>
  <si>
    <t>원천납부세액</t>
    <phoneticPr fontId="3" type="noConversion"/>
  </si>
  <si>
    <t>간접투자회사 등의 외국납부세액</t>
    <phoneticPr fontId="3" type="noConversion"/>
  </si>
  <si>
    <t>소 계</t>
    <phoneticPr fontId="3" type="noConversion"/>
  </si>
  <si>
    <t>신고납부전 가산세액</t>
    <phoneticPr fontId="3" type="noConversion"/>
  </si>
  <si>
    <t>차감납부할세액</t>
    <phoneticPr fontId="3" type="noConversion"/>
  </si>
  <si>
    <t>소득조정금액</t>
    <phoneticPr fontId="3" type="noConversion"/>
  </si>
  <si>
    <t>(1)</t>
    <phoneticPr fontId="3" type="noConversion"/>
  </si>
  <si>
    <t>법인세 과세표준 및 세액조정신고서</t>
    <phoneticPr fontId="3" type="noConversion"/>
  </si>
  <si>
    <t>과목별 주요세무조정 입력 DATA</t>
    <phoneticPr fontId="5" type="noConversion"/>
  </si>
  <si>
    <t>접대비 사적사용경비</t>
    <phoneticPr fontId="3" type="noConversion"/>
  </si>
  <si>
    <t>(2)</t>
    <phoneticPr fontId="3" type="noConversion"/>
  </si>
  <si>
    <t>중소기업 여부 및 사업연도 월수</t>
    <phoneticPr fontId="3" type="noConversion"/>
  </si>
  <si>
    <t>문화접대비 지출액</t>
    <phoneticPr fontId="3" type="noConversion"/>
  </si>
  <si>
    <t>구 분</t>
    <phoneticPr fontId="3" type="noConversion"/>
  </si>
  <si>
    <t>내 역</t>
    <phoneticPr fontId="3" type="noConversion"/>
  </si>
  <si>
    <t>자본금과 적립금 조정명세 을표</t>
    <phoneticPr fontId="5" type="noConversion"/>
  </si>
  <si>
    <t>과목별 세무조정사항(T202, T203 제외)</t>
    <phoneticPr fontId="5" type="noConversion"/>
  </si>
  <si>
    <t>자동조정 DATA</t>
    <phoneticPr fontId="5" type="noConversion"/>
  </si>
  <si>
    <t>구 분</t>
    <phoneticPr fontId="3" type="noConversion"/>
  </si>
  <si>
    <t>기 초</t>
    <phoneticPr fontId="3" type="noConversion"/>
  </si>
  <si>
    <t>감 소</t>
    <phoneticPr fontId="3" type="noConversion"/>
  </si>
  <si>
    <t>증 가</t>
    <phoneticPr fontId="3" type="noConversion"/>
  </si>
  <si>
    <t>기 말</t>
    <phoneticPr fontId="3" type="noConversion"/>
  </si>
  <si>
    <t>기초대사(B/S)='을표'</t>
    <phoneticPr fontId="3" type="noConversion"/>
  </si>
  <si>
    <t>마일리지충당금</t>
  </si>
  <si>
    <t>판매보증충당금</t>
  </si>
  <si>
    <t>하자보수충당금</t>
  </si>
  <si>
    <t>T203</t>
    <phoneticPr fontId="3" type="noConversion"/>
  </si>
  <si>
    <t>T204</t>
    <phoneticPr fontId="3" type="noConversion"/>
  </si>
  <si>
    <t>끝</t>
    <phoneticPr fontId="3" type="noConversion"/>
  </si>
  <si>
    <t>여</t>
    <phoneticPr fontId="3" type="noConversion"/>
  </si>
  <si>
    <t>부</t>
    <phoneticPr fontId="3" type="noConversion"/>
  </si>
  <si>
    <t>직원급여</t>
    <phoneticPr fontId="3" type="noConversion"/>
  </si>
  <si>
    <t>대손상각비</t>
    <phoneticPr fontId="7" type="noConversion"/>
  </si>
  <si>
    <t>대손충당금환입</t>
    <phoneticPr fontId="7" type="noConversion"/>
  </si>
  <si>
    <t>미수금</t>
    <phoneticPr fontId="3" type="noConversion"/>
  </si>
  <si>
    <t>(1)</t>
    <phoneticPr fontId="7" type="noConversion"/>
  </si>
  <si>
    <t>기부금 명세서 내역</t>
    <phoneticPr fontId="7" type="noConversion"/>
  </si>
  <si>
    <t>지정</t>
  </si>
  <si>
    <t>비 고</t>
    <phoneticPr fontId="7" type="noConversion"/>
  </si>
  <si>
    <t>법법 제24조 2항</t>
    <phoneticPr fontId="7" type="noConversion"/>
  </si>
  <si>
    <t>법법 제24조 1항</t>
    <phoneticPr fontId="7" type="noConversion"/>
  </si>
  <si>
    <t>그 밖의 기부금</t>
    <phoneticPr fontId="7" type="noConversion"/>
  </si>
  <si>
    <t>기부금(비지정)</t>
    <phoneticPr fontId="7" type="noConversion"/>
  </si>
  <si>
    <t>기타사외유출</t>
    <phoneticPr fontId="7" type="noConversion"/>
  </si>
  <si>
    <t>기부금 조정명세서</t>
    <phoneticPr fontId="7" type="noConversion"/>
  </si>
  <si>
    <t>금 액</t>
    <phoneticPr fontId="7" type="noConversion"/>
  </si>
  <si>
    <t>소득금액 계</t>
    <phoneticPr fontId="7" type="noConversion"/>
  </si>
  <si>
    <t>이월결손금 합계액</t>
    <phoneticPr fontId="7" type="noConversion"/>
  </si>
  <si>
    <t>조특 73.1.14 기부금</t>
    <phoneticPr fontId="7" type="noConversion"/>
  </si>
  <si>
    <t>1) 조특 제73조 제1항 제14호 기부금 손금산입액 한도계산(대학기부금)</t>
    <phoneticPr fontId="7" type="noConversion"/>
  </si>
  <si>
    <t>한도액</t>
    <phoneticPr fontId="7" type="noConversion"/>
  </si>
  <si>
    <t>대학기부금</t>
  </si>
  <si>
    <t>대학기부금</t>
    <phoneticPr fontId="7" type="noConversion"/>
  </si>
  <si>
    <t>조특 73조 1항 14호</t>
    <phoneticPr fontId="7" type="noConversion"/>
  </si>
  <si>
    <t>조특 73조 1항(14호 제외)</t>
    <phoneticPr fontId="7" type="noConversion"/>
  </si>
  <si>
    <t>이월잔액 중 손금산입액</t>
    <phoneticPr fontId="7" type="noConversion"/>
  </si>
  <si>
    <t>(3)</t>
    <phoneticPr fontId="7" type="noConversion"/>
  </si>
  <si>
    <t>법정 및 특례기부금</t>
    <phoneticPr fontId="7" type="noConversion"/>
  </si>
  <si>
    <t>(2)</t>
    <phoneticPr fontId="7" type="noConversion"/>
  </si>
  <si>
    <t>기부금 이월액 명세</t>
    <phoneticPr fontId="7" type="noConversion"/>
  </si>
  <si>
    <t>한도 초과 손금불산입</t>
    <phoneticPr fontId="7" type="noConversion"/>
  </si>
  <si>
    <t>기 공제액</t>
    <phoneticPr fontId="7" type="noConversion"/>
  </si>
  <si>
    <t>공제가능잔액</t>
    <phoneticPr fontId="7" type="noConversion"/>
  </si>
  <si>
    <t>차기이월액</t>
  </si>
  <si>
    <t>해당사업연도 손금추인</t>
    <phoneticPr fontId="7" type="noConversion"/>
  </si>
  <si>
    <t>소득금액 차감잔액</t>
    <phoneticPr fontId="7" type="noConversion"/>
  </si>
  <si>
    <t>한도초과액</t>
    <phoneticPr fontId="7" type="noConversion"/>
  </si>
  <si>
    <t>2) 법정기부금 및 특례기부금 한도액 계산</t>
    <phoneticPr fontId="7" type="noConversion"/>
  </si>
  <si>
    <t>법정기부금 계</t>
    <phoneticPr fontId="7" type="noConversion"/>
  </si>
  <si>
    <t>특례기부금 계</t>
    <phoneticPr fontId="7" type="noConversion"/>
  </si>
  <si>
    <t>3) 지정기부금 한도액 계산</t>
    <phoneticPr fontId="7" type="noConversion"/>
  </si>
  <si>
    <t>지정기부금 계</t>
    <phoneticPr fontId="7" type="noConversion"/>
  </si>
  <si>
    <t>4) 기부금 한도액 초과액 총액</t>
    <phoneticPr fontId="7" type="noConversion"/>
  </si>
  <si>
    <t>기부금 합계액</t>
    <phoneticPr fontId="7" type="noConversion"/>
  </si>
  <si>
    <t>손금산입 합계</t>
    <phoneticPr fontId="7" type="noConversion"/>
  </si>
  <si>
    <t>손금산입액</t>
    <phoneticPr fontId="7" type="noConversion"/>
  </si>
  <si>
    <t>한도초과액 합계</t>
    <phoneticPr fontId="7" type="noConversion"/>
  </si>
  <si>
    <t>법정기부금</t>
  </si>
  <si>
    <t>법정기부금</t>
    <phoneticPr fontId="7" type="noConversion"/>
  </si>
  <si>
    <t>특례기부금</t>
  </si>
  <si>
    <t>특례기부금</t>
    <phoneticPr fontId="7" type="noConversion"/>
  </si>
  <si>
    <t>지정기부금</t>
  </si>
  <si>
    <t>지정기부금</t>
    <phoneticPr fontId="7" type="noConversion"/>
  </si>
  <si>
    <t>기타기부금</t>
  </si>
  <si>
    <t>기타기부금</t>
    <phoneticPr fontId="7" type="noConversion"/>
  </si>
  <si>
    <t>4) 한도율</t>
    <phoneticPr fontId="3" type="noConversion"/>
  </si>
  <si>
    <t>2008년 이전</t>
    <phoneticPr fontId="3" type="noConversion"/>
  </si>
  <si>
    <t>2009년 이후</t>
    <phoneticPr fontId="3" type="noConversion"/>
  </si>
  <si>
    <t>회원권</t>
    <phoneticPr fontId="3" type="noConversion"/>
  </si>
  <si>
    <t>연구인력개발준비금</t>
    <phoneticPr fontId="3" type="noConversion"/>
  </si>
  <si>
    <t>법인세할 주민세</t>
    <phoneticPr fontId="3" type="noConversion"/>
  </si>
  <si>
    <t>법인세 등</t>
    <phoneticPr fontId="3" type="noConversion"/>
  </si>
  <si>
    <t>산출세액</t>
    <phoneticPr fontId="3" type="noConversion"/>
  </si>
  <si>
    <t>2009년 주요 세무조정 중 자동조정사항(외화환산익손, 지분법익손, 단기매매증권평가익손, 재고자산평가익손, 미수수익, 기타충당금)</t>
    <phoneticPr fontId="3" type="noConversion"/>
  </si>
  <si>
    <t>기타 세무조정(준비금 벌과금 등 기타 세무조정사항</t>
    <phoneticPr fontId="3" type="noConversion"/>
  </si>
  <si>
    <t>T205</t>
    <phoneticPr fontId="3" type="noConversion"/>
  </si>
  <si>
    <t>세액공제</t>
    <phoneticPr fontId="3" type="noConversion"/>
  </si>
  <si>
    <t>원재료평가손실</t>
    <phoneticPr fontId="3" type="noConversion"/>
  </si>
  <si>
    <t>제품평가손실</t>
    <phoneticPr fontId="3" type="noConversion"/>
  </si>
  <si>
    <t>지분법자본변동</t>
    <phoneticPr fontId="3" type="noConversion"/>
  </si>
  <si>
    <t>T(세무조정)</t>
    <phoneticPr fontId="3" type="noConversion"/>
  </si>
  <si>
    <t>계정담당공인회계사</t>
    <phoneticPr fontId="5" type="noConversion"/>
  </si>
  <si>
    <t>전기</t>
    <phoneticPr fontId="3" type="noConversion"/>
  </si>
  <si>
    <t>당기</t>
    <phoneticPr fontId="3" type="noConversion"/>
  </si>
  <si>
    <t>납부세액(주민세포함)</t>
    <phoneticPr fontId="3" type="noConversion"/>
  </si>
  <si>
    <t>재 무 상 태 표</t>
    <phoneticPr fontId="5" type="noConversion"/>
  </si>
  <si>
    <r>
      <t>재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무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상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태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표</t>
    </r>
    <r>
      <rPr>
        <u/>
        <sz val="18"/>
        <rFont val="Times New Roman"/>
        <family val="1"/>
      </rPr>
      <t/>
    </r>
    <phoneticPr fontId="3" type="noConversion"/>
  </si>
  <si>
    <t>Kbj</t>
    <phoneticPr fontId="3" type="noConversion"/>
  </si>
  <si>
    <t>pjKim</t>
    <phoneticPr fontId="3" type="noConversion"/>
  </si>
  <si>
    <t>BB</t>
    <phoneticPr fontId="3" type="noConversion"/>
  </si>
  <si>
    <t>기수</t>
    <phoneticPr fontId="3" type="noConversion"/>
  </si>
  <si>
    <t>년도</t>
    <phoneticPr fontId="3" type="noConversion"/>
  </si>
  <si>
    <t xml:space="preserve"> </t>
  </si>
  <si>
    <t>Diff</t>
  </si>
  <si>
    <t>검증</t>
  </si>
  <si>
    <t>영업활동</t>
  </si>
  <si>
    <t>투자활동</t>
  </si>
  <si>
    <t>재무활동</t>
  </si>
  <si>
    <t>비현금거래</t>
  </si>
  <si>
    <t>비용가산</t>
  </si>
  <si>
    <t>수익차감</t>
  </si>
  <si>
    <t>자산부채증감</t>
  </si>
  <si>
    <t>현금유입</t>
  </si>
  <si>
    <t>현금유출</t>
  </si>
  <si>
    <t>현금유입(대변)</t>
  </si>
  <si>
    <t>현금유출(차변)</t>
  </si>
  <si>
    <t xml:space="preserve">    자                산</t>
  </si>
  <si>
    <t xml:space="preserve">      단 기  금 융 상 품</t>
  </si>
  <si>
    <t xml:space="preserve">      매    출   채   권  </t>
  </si>
  <si>
    <t xml:space="preserve">      대  손  충  당  금  </t>
  </si>
  <si>
    <t xml:space="preserve">      단  기  대  여  금  </t>
  </si>
  <si>
    <t xml:space="preserve">      미   수     수  익  </t>
  </si>
  <si>
    <t xml:space="preserve">      미      수      금  </t>
  </si>
  <si>
    <t xml:space="preserve">      선      급      금  </t>
  </si>
  <si>
    <t xml:space="preserve">      선   급     비  용  </t>
  </si>
  <si>
    <t xml:space="preserve">    II.비  유  동 자  산</t>
  </si>
  <si>
    <t xml:space="preserve">      매 도 가  능 증 권  </t>
  </si>
  <si>
    <t xml:space="preserve">      지분법적용투자주식  </t>
  </si>
  <si>
    <t xml:space="preserve">      기   계    장   치  </t>
  </si>
  <si>
    <t xml:space="preserve">      감가 상각 누 계 액  </t>
  </si>
  <si>
    <t xml:space="preserve">      비              품  </t>
  </si>
  <si>
    <t xml:space="preserve">      시   설    장   치</t>
  </si>
  <si>
    <t>건 설 중 인 자 산</t>
  </si>
  <si>
    <t xml:space="preserve">      소  프  트  웨 어</t>
  </si>
  <si>
    <t xml:space="preserve">     (4)기 타 비유동자산  </t>
  </si>
  <si>
    <t xml:space="preserve">      보      증      금  </t>
  </si>
  <si>
    <t xml:space="preserve">    부                채</t>
  </si>
  <si>
    <t xml:space="preserve">      매    입   채   무  </t>
  </si>
  <si>
    <t xml:space="preserve">      미   지    급   금  </t>
  </si>
  <si>
    <t xml:space="preserve">      예      수      금  </t>
  </si>
  <si>
    <t xml:space="preserve">      단  기  차  입  금  </t>
  </si>
  <si>
    <t xml:space="preserve">      미  지  급  비  용  </t>
  </si>
  <si>
    <t xml:space="preserve">      유 동 성 전 환사채  </t>
  </si>
  <si>
    <t xml:space="preserve">      전  환  권  조  정</t>
  </si>
  <si>
    <t xml:space="preserve">      전환사채상환할증금</t>
  </si>
  <si>
    <t xml:space="preserve">      신주인수권부 사 채  </t>
  </si>
  <si>
    <t xml:space="preserve">      신주인수 권  조 정  </t>
  </si>
  <si>
    <t xml:space="preserve">      신주인수 권 할증금  </t>
  </si>
  <si>
    <t xml:space="preserve">    자                본</t>
  </si>
  <si>
    <t xml:space="preserve">      보 통 주  자 본 금  </t>
  </si>
  <si>
    <t xml:space="preserve">      우 선 주  자 본 금  </t>
  </si>
  <si>
    <t xml:space="preserve">      주식 발행 초 과 금  </t>
  </si>
  <si>
    <t xml:space="preserve">      감   자   차    익  </t>
  </si>
  <si>
    <t xml:space="preserve">      신 주 인수권  대가  </t>
  </si>
  <si>
    <t xml:space="preserve">      전  환  권  대  가  </t>
  </si>
  <si>
    <t xml:space="preserve">      자기 주식 처분손실  </t>
  </si>
  <si>
    <t xml:space="preserve">    부 채 와 자 본 총 계  </t>
  </si>
  <si>
    <t>&lt;현금없는 손익항목&gt;</t>
  </si>
  <si>
    <t>PL상(제조포함)</t>
  </si>
  <si>
    <t>차이</t>
  </si>
  <si>
    <t>퇴직급여</t>
  </si>
  <si>
    <t xml:space="preserve">비용가산 </t>
  </si>
  <si>
    <t>대손상각비</t>
  </si>
  <si>
    <t>영업활동현금흐름</t>
  </si>
  <si>
    <t>투자활동현금흐름</t>
  </si>
  <si>
    <t>투자활동현금유입</t>
  </si>
  <si>
    <t>투자활동현금유출</t>
  </si>
  <si>
    <t>재무활동현금흐름</t>
  </si>
  <si>
    <t>재무활동현금유입</t>
  </si>
  <si>
    <t>재무활동현금유출</t>
  </si>
  <si>
    <t>현금의 증감</t>
  </si>
  <si>
    <t>기초현금</t>
  </si>
  <si>
    <t>기말현금</t>
  </si>
  <si>
    <t>B/S현금</t>
  </si>
  <si>
    <t>차이금액</t>
  </si>
  <si>
    <t>(단위 : 원)</t>
  </si>
  <si>
    <t>과                        목</t>
  </si>
  <si>
    <t>I.영업활동으로 인한 현금흐름</t>
  </si>
  <si>
    <t>2. 현금의 유출이 없는 비용등의 가산</t>
  </si>
  <si>
    <t>가. 감가상각비</t>
  </si>
  <si>
    <t>나. 무형자산상각비</t>
  </si>
  <si>
    <t>다. 퇴직급여</t>
  </si>
  <si>
    <t>라. 대손상각비</t>
  </si>
  <si>
    <t>마. 기타의대손상각비</t>
  </si>
  <si>
    <t>3. 현금의 유입이 없는 수익등의 차감</t>
  </si>
  <si>
    <t>가. 외화환산이익</t>
  </si>
  <si>
    <t>나. 대손충당금환입</t>
  </si>
  <si>
    <t>4. 영업활동으로 인한 자산 부채의 변동</t>
  </si>
  <si>
    <t>가. 매출채권의 감소(증가)</t>
  </si>
  <si>
    <t>나. 미수금의 감소(증가)</t>
  </si>
  <si>
    <t>다. 미수수익의 감소(증가)</t>
  </si>
  <si>
    <t>라. 선급금의 감소</t>
  </si>
  <si>
    <t>마. 선급비용의 감소(증가)</t>
  </si>
  <si>
    <t>바. 미수법인세환급액의 감소(증가)</t>
  </si>
  <si>
    <t>사. 재고자산의 증가</t>
  </si>
  <si>
    <t>아. 매입채무의 증가</t>
  </si>
  <si>
    <t>자. 미지급금의 증가(감소)</t>
  </si>
  <si>
    <t>차. 선수금의 증가(감소)</t>
  </si>
  <si>
    <t>카. 예수금의 증가</t>
  </si>
  <si>
    <t>타. 미지급비용의 증가(감소)</t>
  </si>
  <si>
    <t>파. 퇴직금의 지급</t>
  </si>
  <si>
    <t>II.투자활동으로 인한 현금흐름</t>
  </si>
  <si>
    <t>1. 투자활동으로 인한 현금유입액</t>
  </si>
  <si>
    <t>가. 단기금융상품의 감소</t>
  </si>
  <si>
    <t>나. 단기매매증권의 처분</t>
  </si>
  <si>
    <t>다. 단기대여금의 감소</t>
  </si>
  <si>
    <t>라. 매도가능증권의 처분</t>
  </si>
  <si>
    <t>2. 투자활동으로 인한 현금유출액</t>
  </si>
  <si>
    <t>가. 단기금융상품의 증가</t>
  </si>
  <si>
    <t>나. 단기대여금의 증가</t>
  </si>
  <si>
    <t>III.재무활동으로 인한 현금흐름</t>
  </si>
  <si>
    <t>1. 재무활동으로 인한 현금유입액</t>
  </si>
  <si>
    <t>가. 단기차입금의 증가</t>
  </si>
  <si>
    <t>나. 신주인수권부사채의 발행</t>
  </si>
  <si>
    <t>다. 유상증자</t>
  </si>
  <si>
    <t>2. 재무활동으로 인한 현금유출액</t>
  </si>
  <si>
    <t>가. 단기차입금의 감소</t>
  </si>
  <si>
    <t>IV.현금의 증가(감소) ( I + II + III )</t>
  </si>
  <si>
    <t>V.기초의 현금</t>
  </si>
  <si>
    <t>VI.기말의 현금</t>
  </si>
  <si>
    <t>&lt;Tickmark Legend&gt;</t>
    <phoneticPr fontId="3" type="noConversion"/>
  </si>
  <si>
    <t xml:space="preserve">V </t>
    <phoneticPr fontId="3" type="noConversion"/>
  </si>
  <si>
    <r>
      <t>G/L</t>
    </r>
    <r>
      <rPr>
        <sz val="11"/>
        <rFont val="맑은 고딕"/>
        <family val="3"/>
        <charset val="129"/>
      </rPr>
      <t>확인</t>
    </r>
    <r>
      <rPr>
        <sz val="11"/>
        <rFont val="Book Antiqua"/>
        <family val="1"/>
      </rPr>
      <t xml:space="preserve"> </t>
    </r>
    <r>
      <rPr>
        <sz val="11"/>
        <rFont val="맑은 고딕"/>
        <family val="3"/>
        <charset val="129"/>
      </rPr>
      <t>및</t>
    </r>
    <r>
      <rPr>
        <sz val="11"/>
        <rFont val="Book Antiqua"/>
        <family val="1"/>
      </rPr>
      <t xml:space="preserve"> </t>
    </r>
    <r>
      <rPr>
        <sz val="11"/>
        <rFont val="맑은 고딕"/>
        <family val="3"/>
        <charset val="129"/>
      </rPr>
      <t>명세서</t>
    </r>
    <r>
      <rPr>
        <sz val="11"/>
        <rFont val="Book Antiqua"/>
        <family val="1"/>
      </rPr>
      <t xml:space="preserve"> </t>
    </r>
    <r>
      <rPr>
        <sz val="11"/>
        <rFont val="맑은 고딕"/>
        <family val="3"/>
        <charset val="129"/>
      </rPr>
      <t>금액</t>
    </r>
    <r>
      <rPr>
        <sz val="11"/>
        <rFont val="Book Antiqua"/>
        <family val="1"/>
      </rPr>
      <t xml:space="preserve"> </t>
    </r>
    <r>
      <rPr>
        <sz val="11"/>
        <rFont val="맑은 고딕"/>
        <family val="3"/>
        <charset val="129"/>
      </rPr>
      <t>확인</t>
    </r>
    <phoneticPr fontId="3" type="noConversion"/>
  </si>
  <si>
    <t>`</t>
    <phoneticPr fontId="3" type="noConversion"/>
  </si>
  <si>
    <t>G/L  확인 및 명세서 금액 확인</t>
    <phoneticPr fontId="3" type="noConversion"/>
  </si>
  <si>
    <t>q</t>
  </si>
  <si>
    <t>전기 감사보고서 확인</t>
    <phoneticPr fontId="3" type="noConversion"/>
  </si>
  <si>
    <t>당기 계정별 원장 및 명세서 금액 확인</t>
    <phoneticPr fontId="3" type="noConversion"/>
  </si>
  <si>
    <t>유동성(2011년)</t>
    <phoneticPr fontId="3" type="noConversion"/>
  </si>
  <si>
    <t>비유동성(2012년)</t>
    <phoneticPr fontId="3" type="noConversion"/>
  </si>
  <si>
    <t>아. 매도가능증권처분손실</t>
    <phoneticPr fontId="5" type="noConversion"/>
  </si>
  <si>
    <t>자. 지분법손실</t>
    <phoneticPr fontId="5" type="noConversion"/>
  </si>
  <si>
    <t>차. 지분법적용투자주식처분손실</t>
    <phoneticPr fontId="5" type="noConversion"/>
  </si>
  <si>
    <t>카. 사채상환손실</t>
    <phoneticPr fontId="5" type="noConversion"/>
  </si>
  <si>
    <t>파. 재고자산평가손실</t>
    <phoneticPr fontId="5" type="noConversion"/>
  </si>
  <si>
    <t>다. 단기매매증권처분이익</t>
    <phoneticPr fontId="5" type="noConversion"/>
  </si>
  <si>
    <t>라. 매도가능증권처분이익</t>
    <phoneticPr fontId="5" type="noConversion"/>
  </si>
  <si>
    <t>마. 만기보유증권의 처분</t>
    <phoneticPr fontId="5" type="noConversion"/>
  </si>
  <si>
    <t>바. 지분법적용투자주식의 처분</t>
    <phoneticPr fontId="5" type="noConversion"/>
  </si>
  <si>
    <t>사. 보증금의 감소</t>
    <phoneticPr fontId="5" type="noConversion"/>
  </si>
  <si>
    <t>다. 단기매매증권의 취득</t>
    <phoneticPr fontId="5" type="noConversion"/>
  </si>
  <si>
    <t>라. 매도가능증권의 취득</t>
    <phoneticPr fontId="5" type="noConversion"/>
  </si>
  <si>
    <t>아. 공구와기구의 취득</t>
    <phoneticPr fontId="5" type="noConversion"/>
  </si>
  <si>
    <t>나. 전환사채의 상환</t>
    <phoneticPr fontId="5" type="noConversion"/>
  </si>
  <si>
    <t>다. 신수인수권부사채의 상환</t>
    <phoneticPr fontId="5" type="noConversion"/>
  </si>
  <si>
    <t>1. 당기순이익(손실)</t>
    <phoneticPr fontId="5" type="noConversion"/>
  </si>
  <si>
    <t>바. 외화환산손실</t>
    <phoneticPr fontId="5" type="noConversion"/>
  </si>
  <si>
    <t>사. 단기매매증권처분손실</t>
    <phoneticPr fontId="5" type="noConversion"/>
  </si>
  <si>
    <t>타. 이자비용</t>
    <phoneticPr fontId="5" type="noConversion"/>
  </si>
  <si>
    <t>마. 지분법적용투자주식처분이익</t>
    <phoneticPr fontId="5" type="noConversion"/>
  </si>
  <si>
    <t>바. 지분법이익</t>
    <phoneticPr fontId="5" type="noConversion"/>
  </si>
  <si>
    <t>사. 사채상환이익</t>
    <phoneticPr fontId="5" type="noConversion"/>
  </si>
  <si>
    <t>마. 지분법적용투자주식의 취득</t>
    <phoneticPr fontId="5" type="noConversion"/>
  </si>
  <si>
    <t>바. 기계장치의 취득</t>
    <phoneticPr fontId="5" type="noConversion"/>
  </si>
  <si>
    <t>사. 차량운반구의 취득</t>
    <phoneticPr fontId="5" type="noConversion"/>
  </si>
  <si>
    <t>자. 비품의 취득</t>
    <phoneticPr fontId="5" type="noConversion"/>
  </si>
  <si>
    <t>차. 시설장치의 취득</t>
    <phoneticPr fontId="5" type="noConversion"/>
  </si>
  <si>
    <t>카. 건설중인자산의 증가</t>
    <phoneticPr fontId="5" type="noConversion"/>
  </si>
  <si>
    <t>타. 소프트웨어의 증가</t>
    <phoneticPr fontId="5" type="noConversion"/>
  </si>
  <si>
    <t>파. 보증금의 증가</t>
    <phoneticPr fontId="5" type="noConversion"/>
  </si>
  <si>
    <t>라. 임대보증금의 감소</t>
    <phoneticPr fontId="5" type="noConversion"/>
  </si>
  <si>
    <t>현금흐름정산표</t>
    <phoneticPr fontId="5" type="noConversion"/>
  </si>
  <si>
    <t>(단위 : 원)</t>
    <phoneticPr fontId="5" type="noConversion"/>
  </si>
  <si>
    <t>과      목</t>
    <phoneticPr fontId="5" type="noConversion"/>
  </si>
  <si>
    <t>금          액</t>
    <phoneticPr fontId="5" type="noConversion"/>
  </si>
  <si>
    <t xml:space="preserve">    I.유   동    자   산</t>
    <phoneticPr fontId="5" type="noConversion"/>
  </si>
  <si>
    <t xml:space="preserve">     (1)당  좌   자   산</t>
    <phoneticPr fontId="5" type="noConversion"/>
  </si>
  <si>
    <t xml:space="preserve">      현              금</t>
    <phoneticPr fontId="5" type="noConversion"/>
  </si>
  <si>
    <t xml:space="preserve">      보    통   예   금  </t>
    <phoneticPr fontId="5" type="noConversion"/>
  </si>
  <si>
    <t xml:space="preserve">      단 기  매 매 증 권</t>
    <phoneticPr fontId="5" type="noConversion"/>
  </si>
  <si>
    <t xml:space="preserve">      매 도 가 능  증 권</t>
    <phoneticPr fontId="5" type="noConversion"/>
  </si>
  <si>
    <t xml:space="preserve">      만 기 보 유  증 권</t>
    <phoneticPr fontId="5" type="noConversion"/>
  </si>
  <si>
    <t xml:space="preserve">      미수 법인세 환급액</t>
    <phoneticPr fontId="5" type="noConversion"/>
  </si>
  <si>
    <t xml:space="preserve">     (2)재  고   자   산</t>
    <phoneticPr fontId="5" type="noConversion"/>
  </si>
  <si>
    <t xml:space="preserve">      상              품</t>
    <phoneticPr fontId="5" type="noConversion"/>
  </si>
  <si>
    <t xml:space="preserve">      상      품      권</t>
    <phoneticPr fontId="5" type="noConversion"/>
  </si>
  <si>
    <t xml:space="preserve">      제              품</t>
    <phoneticPr fontId="5" type="noConversion"/>
  </si>
  <si>
    <t xml:space="preserve">      원      재      료</t>
    <phoneticPr fontId="5" type="noConversion"/>
  </si>
  <si>
    <t xml:space="preserve">      부      재      료</t>
    <phoneticPr fontId="5" type="noConversion"/>
  </si>
  <si>
    <t xml:space="preserve">     (1)투  자   자   산</t>
    <phoneticPr fontId="5" type="noConversion"/>
  </si>
  <si>
    <t xml:space="preserve">     (2)유  형   자   산</t>
    <phoneticPr fontId="5" type="noConversion"/>
  </si>
  <si>
    <t xml:space="preserve">      차  량  운  반  구  </t>
    <phoneticPr fontId="5" type="noConversion"/>
  </si>
  <si>
    <t xml:space="preserve">      공  구  와  기  구  </t>
    <phoneticPr fontId="5" type="noConversion"/>
  </si>
  <si>
    <t xml:space="preserve">     (3)무  형   자   산</t>
    <phoneticPr fontId="5" type="noConversion"/>
  </si>
  <si>
    <t xml:space="preserve">      예  치  보  증  금</t>
    <phoneticPr fontId="5" type="noConversion"/>
  </si>
  <si>
    <t xml:space="preserve">    자   산     총    계</t>
    <phoneticPr fontId="5" type="noConversion"/>
  </si>
  <si>
    <t xml:space="preserve">    I.  유   동   부  채</t>
    <phoneticPr fontId="5" type="noConversion"/>
  </si>
  <si>
    <t xml:space="preserve">      선      수      금</t>
    <phoneticPr fontId="5" type="noConversion"/>
  </si>
  <si>
    <t xml:space="preserve">      임  대  보  증  금  </t>
    <phoneticPr fontId="5" type="noConversion"/>
  </si>
  <si>
    <t xml:space="preserve">    II. 비 유 동  부  채</t>
    <phoneticPr fontId="5" type="noConversion"/>
  </si>
  <si>
    <t xml:space="preserve">      퇴직 급여 충당부채</t>
    <phoneticPr fontId="5" type="noConversion"/>
  </si>
  <si>
    <t xml:space="preserve">      퇴직연금 운용 자산</t>
    <phoneticPr fontId="5" type="noConversion"/>
  </si>
  <si>
    <t xml:space="preserve">      전   환    사   채</t>
    <phoneticPr fontId="5" type="noConversion"/>
  </si>
  <si>
    <t xml:space="preserve">    부    채    총    계</t>
    <phoneticPr fontId="5" type="noConversion"/>
  </si>
  <si>
    <t xml:space="preserve">    I. 자     본      금</t>
    <phoneticPr fontId="5" type="noConversion"/>
  </si>
  <si>
    <t xml:space="preserve">    Ⅱ.자  본   잉 여 금  </t>
    <phoneticPr fontId="5" type="noConversion"/>
  </si>
  <si>
    <t xml:space="preserve">      기타 자본 잉 여 금</t>
    <phoneticPr fontId="5" type="noConversion"/>
  </si>
  <si>
    <t xml:space="preserve">    Ⅲ.자   본   조   정</t>
    <phoneticPr fontId="5" type="noConversion"/>
  </si>
  <si>
    <t xml:space="preserve">      자   기    주   식  </t>
    <phoneticPr fontId="5" type="noConversion"/>
  </si>
  <si>
    <t xml:space="preserve">      주  식  선  택  권</t>
    <phoneticPr fontId="5" type="noConversion"/>
  </si>
  <si>
    <t xml:space="preserve">    Ⅳ.기타포괄손익누계액</t>
    <phoneticPr fontId="5" type="noConversion"/>
  </si>
  <si>
    <t xml:space="preserve">      매도가능증권평가손실</t>
    <phoneticPr fontId="5" type="noConversion"/>
  </si>
  <si>
    <t xml:space="preserve">      매도가능증권평가이익</t>
    <phoneticPr fontId="5" type="noConversion"/>
  </si>
  <si>
    <t xml:space="preserve">      지 분 법 자 본 변 동</t>
    <phoneticPr fontId="5" type="noConversion"/>
  </si>
  <si>
    <t xml:space="preserve">    Ⅴ.결     손     금  </t>
    <phoneticPr fontId="5" type="noConversion"/>
  </si>
  <si>
    <t xml:space="preserve">      미 처 리  결 손 금  </t>
    <phoneticPr fontId="5" type="noConversion"/>
  </si>
  <si>
    <t xml:space="preserve">    자    본    총    계</t>
    <phoneticPr fontId="5" type="noConversion"/>
  </si>
  <si>
    <t>CF상</t>
    <phoneticPr fontId="5" type="noConversion"/>
  </si>
  <si>
    <t>무형자산상각비</t>
    <phoneticPr fontId="5" type="noConversion"/>
  </si>
  <si>
    <t>대손충당금환입</t>
    <phoneticPr fontId="5" type="noConversion"/>
  </si>
  <si>
    <t>외화환산이익</t>
    <phoneticPr fontId="5" type="noConversion"/>
  </si>
  <si>
    <t>지분법이익</t>
    <phoneticPr fontId="5" type="noConversion"/>
  </si>
  <si>
    <t>이자비용</t>
    <phoneticPr fontId="5" type="noConversion"/>
  </si>
  <si>
    <t>기타의대손상각비</t>
    <phoneticPr fontId="5" type="noConversion"/>
  </si>
  <si>
    <t>외화환산손실</t>
    <phoneticPr fontId="5" type="noConversion"/>
  </si>
  <si>
    <t>매도가능증권처분손실</t>
    <phoneticPr fontId="5" type="noConversion"/>
  </si>
  <si>
    <t>지분법손실</t>
    <phoneticPr fontId="5" type="noConversion"/>
  </si>
  <si>
    <t>영업외비용</t>
    <phoneticPr fontId="7" type="noConversion"/>
  </si>
  <si>
    <t>월</t>
    <phoneticPr fontId="3" type="noConversion"/>
  </si>
  <si>
    <t>일</t>
    <phoneticPr fontId="3" type="noConversion"/>
  </si>
  <si>
    <t>B/S</t>
    <phoneticPr fontId="3" type="noConversion"/>
  </si>
  <si>
    <t>I/S</t>
    <phoneticPr fontId="3" type="noConversion"/>
  </si>
  <si>
    <t>기초상품재고액</t>
    <phoneticPr fontId="5" type="noConversion"/>
  </si>
  <si>
    <t>당기상품매입액</t>
    <phoneticPr fontId="5" type="noConversion"/>
  </si>
  <si>
    <t>기말상품재고액</t>
    <phoneticPr fontId="5" type="noConversion"/>
  </si>
  <si>
    <t>제 13 (당)기</t>
  </si>
  <si>
    <t>과  목</t>
  </si>
  <si>
    <t>제 12 (전)기</t>
  </si>
  <si>
    <t>금    액</t>
  </si>
  <si>
    <t>금   액</t>
  </si>
  <si>
    <t xml:space="preserve"> 자             산 </t>
  </si>
  <si>
    <t xml:space="preserve"> Ⅰ. 유  동    자  산  </t>
  </si>
  <si>
    <t xml:space="preserve"> (1) 당  좌    자  산 </t>
  </si>
  <si>
    <t xml:space="preserve">      현              금</t>
  </si>
  <si>
    <t xml:space="preserve">      제      예      금</t>
  </si>
  <si>
    <t xml:space="preserve">      정   기  예. 적 금</t>
  </si>
  <si>
    <t xml:space="preserve">      기타 단기금융 상품</t>
  </si>
  <si>
    <t xml:space="preserve">      외  상  매  출  금</t>
  </si>
  <si>
    <t xml:space="preserve">      미   수     수  익</t>
  </si>
  <si>
    <t xml:space="preserve">      미      수      금</t>
  </si>
  <si>
    <t xml:space="preserve">      매도가능증권</t>
  </si>
  <si>
    <t xml:space="preserve">      선    납   세   금</t>
  </si>
  <si>
    <t xml:space="preserve"> (2) 재  고    자  산 </t>
  </si>
  <si>
    <t xml:space="preserve"> Ⅱ. 비  유  동  자  산  </t>
  </si>
  <si>
    <t xml:space="preserve"> (1) 투  자    자  산  </t>
  </si>
  <si>
    <t xml:space="preserve">      장  기  성  예  금</t>
  </si>
  <si>
    <t xml:space="preserve">      퇴직연금운용자산</t>
  </si>
  <si>
    <t xml:space="preserve"> (2) 유  형    자  산  </t>
  </si>
  <si>
    <t xml:space="preserve">      토              지</t>
  </si>
  <si>
    <t xml:space="preserve">      건              물</t>
  </si>
  <si>
    <t xml:space="preserve">      비              품</t>
  </si>
  <si>
    <t xml:space="preserve"> (3) 무  형    자  산 </t>
  </si>
  <si>
    <t xml:space="preserve"> (4) 기타  비유동자산  </t>
  </si>
  <si>
    <t xml:space="preserve">      전신 전화 가 입 권</t>
  </si>
  <si>
    <t>자    산    총    계</t>
  </si>
  <si>
    <t xml:space="preserve"> 부             채 </t>
  </si>
  <si>
    <t xml:space="preserve"> Ⅰ. 유  동    부  채  </t>
  </si>
  <si>
    <t xml:space="preserve">      미   지    급   금</t>
  </si>
  <si>
    <t xml:space="preserve">      예      수      금</t>
  </si>
  <si>
    <t xml:space="preserve">      선      수      금</t>
  </si>
  <si>
    <t xml:space="preserve"> Ⅱ. 비  유  동  부  채  </t>
  </si>
  <si>
    <t xml:space="preserve">      사업위탁금</t>
  </si>
  <si>
    <t xml:space="preserve">      임  대  보  증  금</t>
  </si>
  <si>
    <t xml:space="preserve">      퇴직 급여 충 당 금</t>
  </si>
  <si>
    <t>부    채    총    계</t>
  </si>
  <si>
    <t xml:space="preserve"> 자             본 </t>
  </si>
  <si>
    <t xml:space="preserve"> Ⅰ. 자      본      금  </t>
  </si>
  <si>
    <t xml:space="preserve">      출연금</t>
  </si>
  <si>
    <t xml:space="preserve"> Ⅱ. 자  본  잉  여  금  </t>
  </si>
  <si>
    <t xml:space="preserve"> Ⅲ. 자   본    조   정  </t>
  </si>
  <si>
    <t xml:space="preserve"> Ⅳ. 기타포괄손익누계액  </t>
  </si>
  <si>
    <t xml:space="preserve">      매도가능증권평가익</t>
  </si>
  <si>
    <t xml:space="preserve"> Ⅴ. 이  익  잉  여  금  </t>
  </si>
  <si>
    <t xml:space="preserve">      기타  이익  잉여금</t>
  </si>
  <si>
    <t xml:space="preserve">  미처분  이익  잉여금</t>
  </si>
  <si>
    <t xml:space="preserve"> ( 당 기 순 손 실 )</t>
  </si>
  <si>
    <t>자    본    총    계</t>
  </si>
  <si>
    <t>부 채 및 자 본 총 계</t>
  </si>
  <si>
    <t xml:space="preserve">   당기 :      301715842</t>
  </si>
  <si>
    <t xml:space="preserve">   전기 :      933424278</t>
  </si>
  <si>
    <t>Ⅰ  . 매      출      액</t>
  </si>
  <si>
    <t xml:space="preserve">      기본재산이자수입</t>
  </si>
  <si>
    <t xml:space="preserve">      임대료수입</t>
  </si>
  <si>
    <t xml:space="preserve">      기업지정기부금</t>
  </si>
  <si>
    <t xml:space="preserve">      성평등사회조성기부금</t>
  </si>
  <si>
    <t xml:space="preserve">      여성건강지원기부금</t>
  </si>
  <si>
    <t xml:space="preserve">      여성가장지원기부금</t>
  </si>
  <si>
    <t xml:space="preserve">      결연기부금</t>
  </si>
  <si>
    <t xml:space="preserve">      특정명의기금</t>
  </si>
  <si>
    <t xml:space="preserve">      미래포럼후원금</t>
  </si>
  <si>
    <t xml:space="preserve">      협찬금</t>
  </si>
  <si>
    <t xml:space="preserve">      기본재산외이자수입</t>
  </si>
  <si>
    <t xml:space="preserve">      잡수입</t>
  </si>
  <si>
    <t xml:space="preserve">      캐쉬상환이자수입</t>
  </si>
  <si>
    <t xml:space="preserve">      교육희망이자수입</t>
  </si>
  <si>
    <t xml:space="preserve">      희망키움상환이자수입</t>
  </si>
  <si>
    <t xml:space="preserve">      교육장 대관수입</t>
  </si>
  <si>
    <t>Ⅱ  . 매    출   원   가</t>
  </si>
  <si>
    <t>Ⅲ  . 매  출  총  이  익</t>
  </si>
  <si>
    <t>Ⅳ  . 판  매  관  리  비</t>
  </si>
  <si>
    <t xml:space="preserve">      모금행사비</t>
  </si>
  <si>
    <t xml:space="preserve">      일반모금비</t>
  </si>
  <si>
    <t xml:space="preserve">      네트웤활동비</t>
  </si>
  <si>
    <t xml:space="preserve">      목적사업비</t>
  </si>
  <si>
    <t xml:space="preserve">      배분경비</t>
  </si>
  <si>
    <t xml:space="preserve">      배분인건비</t>
  </si>
  <si>
    <t xml:space="preserve">      출판인쇄비</t>
  </si>
  <si>
    <t xml:space="preserve">      웹홍보비</t>
  </si>
  <si>
    <t xml:space="preserve">      홍보물제작비</t>
  </si>
  <si>
    <t xml:space="preserve">      홍보관리비</t>
  </si>
  <si>
    <t xml:space="preserve">      10주년기념사업비</t>
  </si>
  <si>
    <t xml:space="preserve">      급여</t>
  </si>
  <si>
    <t xml:space="preserve">      사회보험부담금</t>
  </si>
  <si>
    <t xml:space="preserve">      일용잡급</t>
  </si>
  <si>
    <t xml:space="preserve">      회의비</t>
  </si>
  <si>
    <t xml:space="preserve">      기관운영비</t>
  </si>
  <si>
    <t xml:space="preserve">      직책보조비</t>
  </si>
  <si>
    <t xml:space="preserve">      대외협력비</t>
  </si>
  <si>
    <t xml:space="preserve">      복리후생비</t>
  </si>
  <si>
    <t xml:space="preserve">      교육훈련비</t>
  </si>
  <si>
    <t xml:space="preserve">      여비교통비</t>
  </si>
  <si>
    <t xml:space="preserve">      세금과공과</t>
  </si>
  <si>
    <t xml:space="preserve">      보험료</t>
  </si>
  <si>
    <t xml:space="preserve">      수도광열비</t>
  </si>
  <si>
    <t xml:space="preserve">      통신비</t>
  </si>
  <si>
    <t xml:space="preserve">      운.발송비</t>
  </si>
  <si>
    <t xml:space="preserve">      수수료비용</t>
  </si>
  <si>
    <t xml:space="preserve">      도서인쇄비</t>
  </si>
  <si>
    <t xml:space="preserve">      사무용품비</t>
  </si>
  <si>
    <t xml:space="preserve">      수선비</t>
  </si>
  <si>
    <t xml:space="preserve">      기타경상비</t>
  </si>
  <si>
    <t xml:space="preserve">      감가상각비</t>
  </si>
  <si>
    <t xml:space="preserve">      자산취득비</t>
  </si>
  <si>
    <t xml:space="preserve">      시설장비유지비</t>
  </si>
  <si>
    <t xml:space="preserve">      잡지출</t>
  </si>
  <si>
    <t xml:space="preserve">      퇴직급여</t>
  </si>
  <si>
    <t>Ⅴ  . 영    업   손   실</t>
  </si>
  <si>
    <t>Ⅵ  . 영  업  외  수  익</t>
  </si>
  <si>
    <t>Ⅶ  . 영  업  외  비  용</t>
  </si>
  <si>
    <t xml:space="preserve">      외   환    차   손</t>
  </si>
  <si>
    <t xml:space="preserve">      외 화  환 산 손 실</t>
  </si>
  <si>
    <t>Ⅷ  . 법인세비용차감전순손실</t>
  </si>
  <si>
    <t>Ⅸ  . 법  인  세  비  용</t>
  </si>
  <si>
    <t>Ⅹ  . 당  기  순  손  실</t>
  </si>
  <si>
    <t>(재)한국여성재단</t>
    <phoneticPr fontId="5" type="noConversion"/>
  </si>
  <si>
    <t>22.</t>
  </si>
  <si>
    <t>23.</t>
  </si>
  <si>
    <t>24.</t>
  </si>
  <si>
    <t>25.</t>
  </si>
  <si>
    <t>26.</t>
  </si>
  <si>
    <t>27.</t>
  </si>
  <si>
    <t>28.</t>
  </si>
  <si>
    <t>29.</t>
  </si>
  <si>
    <t>31.</t>
  </si>
  <si>
    <t>32.</t>
  </si>
  <si>
    <t>33.</t>
  </si>
  <si>
    <t>34.</t>
  </si>
  <si>
    <t>35.</t>
  </si>
  <si>
    <t>36.</t>
  </si>
  <si>
    <t>차   변</t>
  </si>
  <si>
    <t>계정과목</t>
  </si>
  <si>
    <t>대    변</t>
  </si>
  <si>
    <t>잔  액</t>
  </si>
  <si>
    <t>합  계</t>
  </si>
  <si>
    <t>&lt;&lt; 자          산 &gt;&gt;</t>
  </si>
  <si>
    <t>[ 유  동    자  산 ]</t>
  </si>
  <si>
    <t>&lt; 당  좌    자  산 &gt;</t>
  </si>
  <si>
    <t>현              금</t>
  </si>
  <si>
    <t>보   통    예   금</t>
  </si>
  <si>
    <t>정   기  예. 적 금</t>
  </si>
  <si>
    <t>기타 단기금융 상품</t>
  </si>
  <si>
    <t>외  상  매  출  금</t>
  </si>
  <si>
    <t>미   수     수  익</t>
  </si>
  <si>
    <t>미      수      금</t>
  </si>
  <si>
    <t>매도가능증권</t>
  </si>
  <si>
    <t>선      급      금</t>
  </si>
  <si>
    <t>가   지     급  금</t>
  </si>
  <si>
    <t>부 가 세 대  급 금</t>
  </si>
  <si>
    <t>선    납   세   금</t>
  </si>
  <si>
    <t>[ 비  유 동  자 산 ]</t>
  </si>
  <si>
    <t>&lt; 투  자    자  산 &gt;</t>
  </si>
  <si>
    <t>장  기  성  예  금</t>
  </si>
  <si>
    <t>퇴직연금운용자산</t>
  </si>
  <si>
    <t>&lt; 유  형    자  산 &gt;</t>
  </si>
  <si>
    <t>토              지</t>
  </si>
  <si>
    <t>건              물</t>
  </si>
  <si>
    <t>감가 상각 누 계 액</t>
  </si>
  <si>
    <t>비              품</t>
  </si>
  <si>
    <t>&lt; 기타 비 유동자산 &gt;</t>
  </si>
  <si>
    <t>전신 전화 가 입 권</t>
  </si>
  <si>
    <t>&lt;&lt; 부          채 &gt;&gt;</t>
  </si>
  <si>
    <t>&lt; 유  동    부  채 &gt;</t>
  </si>
  <si>
    <t>미   지    급   금</t>
  </si>
  <si>
    <t>예      수      금</t>
  </si>
  <si>
    <t>부 가 세 예  수 금</t>
  </si>
  <si>
    <t>선      수      금</t>
  </si>
  <si>
    <t>&lt; 비  유 동  부 채 &gt;</t>
  </si>
  <si>
    <t>사업위탁금</t>
  </si>
  <si>
    <t>임  대  보  증  금</t>
  </si>
  <si>
    <t>퇴직 급여 충 당 금</t>
  </si>
  <si>
    <t>&lt;&lt; 자          본 &gt;&gt;</t>
  </si>
  <si>
    <t>&lt; 자     본     금 &gt;</t>
  </si>
  <si>
    <t>출연금</t>
  </si>
  <si>
    <t>&lt; 자  본    조  정 &gt;</t>
  </si>
  <si>
    <t>손              익</t>
  </si>
  <si>
    <t>&lt;기타포괄손익누계액&gt;</t>
  </si>
  <si>
    <t>매도가능증권평가익</t>
  </si>
  <si>
    <t>&lt; 이  익  잉 여 금 &gt;</t>
  </si>
  <si>
    <t>기타  이익  잉여금</t>
  </si>
  <si>
    <t>이 월 이 익 잉여금</t>
  </si>
  <si>
    <t>처분전 이익 잉여금</t>
  </si>
  <si>
    <t>&lt;&lt; 손          익 &gt;&gt;</t>
  </si>
  <si>
    <t>&lt; 매     출     액 &gt;</t>
  </si>
  <si>
    <t>기본재산이자수입</t>
  </si>
  <si>
    <t>임대료수입</t>
  </si>
  <si>
    <t>기업지정기부금</t>
  </si>
  <si>
    <t>성평등사회조성기부금</t>
  </si>
  <si>
    <t>여성건강지원기부금</t>
  </si>
  <si>
    <t>여성가장지원기부금</t>
  </si>
  <si>
    <t>결연기부금</t>
  </si>
  <si>
    <t>특정명의기금</t>
  </si>
  <si>
    <t>미래포럼후원금</t>
  </si>
  <si>
    <t>협찬금</t>
  </si>
  <si>
    <t>기본재산외이자수입</t>
  </si>
  <si>
    <t>잡수입</t>
  </si>
  <si>
    <t>캐쉬상환이자수입</t>
  </si>
  <si>
    <t>교육희망이자수입</t>
  </si>
  <si>
    <t>희망키움상환이자수입</t>
  </si>
  <si>
    <t>교육장 대관수입</t>
  </si>
  <si>
    <t>&lt; 판 매   관 리 비 &gt;</t>
  </si>
  <si>
    <t>모금행사비</t>
  </si>
  <si>
    <t>일반모금비</t>
  </si>
  <si>
    <t>네트웤활동비</t>
  </si>
  <si>
    <t>목적사업비</t>
  </si>
  <si>
    <t>배분경비</t>
  </si>
  <si>
    <t>배분인건비</t>
  </si>
  <si>
    <t>출판인쇄비</t>
  </si>
  <si>
    <t>웹홍보비</t>
  </si>
  <si>
    <t>홍보물제작비</t>
  </si>
  <si>
    <t>홍보관리비</t>
  </si>
  <si>
    <t>급여</t>
  </si>
  <si>
    <t>사회보험부담금</t>
  </si>
  <si>
    <t>일용잡급</t>
  </si>
  <si>
    <t>회의비</t>
  </si>
  <si>
    <t>기관운영비</t>
  </si>
  <si>
    <t>직책보조비</t>
  </si>
  <si>
    <t>대외협력비</t>
  </si>
  <si>
    <t>복리후생비</t>
  </si>
  <si>
    <t>교육훈련비</t>
  </si>
  <si>
    <t>여비교통비</t>
  </si>
  <si>
    <t>보험료</t>
  </si>
  <si>
    <t>수도광열비</t>
  </si>
  <si>
    <t>통신비</t>
  </si>
  <si>
    <t>운.발송비</t>
  </si>
  <si>
    <t>수수료비용</t>
  </si>
  <si>
    <t>도서인쇄비</t>
  </si>
  <si>
    <t>사무용품비</t>
  </si>
  <si>
    <t>수선비</t>
  </si>
  <si>
    <t>기타경상비</t>
  </si>
  <si>
    <t>시설장비유지비</t>
  </si>
  <si>
    <t>잡지출</t>
  </si>
  <si>
    <t>&lt; 영 업  외  비 용 &gt;</t>
  </si>
  <si>
    <t>외   환    차   손</t>
  </si>
  <si>
    <t>유형자산 검증</t>
    <phoneticPr fontId="3" type="noConversion"/>
  </si>
  <si>
    <t>G100</t>
    <phoneticPr fontId="3" type="noConversion"/>
  </si>
  <si>
    <t>1. 감사목적</t>
    <phoneticPr fontId="3" type="noConversion"/>
  </si>
  <si>
    <t>유형자산의 취득과 처분 및 대체의 적정성과 관련 회계처리의 타당성을 확인한다.</t>
    <phoneticPr fontId="3" type="noConversion"/>
  </si>
  <si>
    <t>2. 감사절차</t>
    <phoneticPr fontId="3" type="noConversion"/>
  </si>
  <si>
    <t>Account</t>
  </si>
  <si>
    <t>회사제시</t>
    <phoneticPr fontId="3" type="noConversion"/>
  </si>
  <si>
    <t>A J E / R J E</t>
  </si>
  <si>
    <t>Audited</t>
  </si>
  <si>
    <t>증가(감소)</t>
    <phoneticPr fontId="3" type="noConversion"/>
  </si>
  <si>
    <t>%</t>
  </si>
  <si>
    <t>취득원가</t>
    <phoneticPr fontId="3" type="noConversion"/>
  </si>
  <si>
    <t>비품</t>
    <phoneticPr fontId="3" type="noConversion"/>
  </si>
  <si>
    <t>회사제시</t>
  </si>
  <si>
    <t>증가(감소)</t>
  </si>
  <si>
    <t>감가상각누계액</t>
    <phoneticPr fontId="3" type="noConversion"/>
  </si>
  <si>
    <t>비품</t>
  </si>
  <si>
    <t>&lt;RELATED PL&gt;</t>
  </si>
  <si>
    <t>감가상가비(판관비)</t>
    <phoneticPr fontId="3" type="noConversion"/>
  </si>
  <si>
    <t>&lt;ARPs&gt;</t>
  </si>
  <si>
    <t>계정(취득원가)</t>
  </si>
  <si>
    <t>기초</t>
  </si>
  <si>
    <t>증가</t>
  </si>
  <si>
    <t>대체</t>
  </si>
  <si>
    <t>감소</t>
  </si>
  <si>
    <t>기말</t>
  </si>
  <si>
    <t>계정(감가상각누계액)</t>
    <phoneticPr fontId="3" type="noConversion"/>
  </si>
  <si>
    <t>계정(장부금액)</t>
    <phoneticPr fontId="3" type="noConversion"/>
  </si>
  <si>
    <t>기초(순액)</t>
    <phoneticPr fontId="3" type="noConversion"/>
  </si>
  <si>
    <t>취득</t>
    <phoneticPr fontId="3" type="noConversion"/>
  </si>
  <si>
    <t>처분(순액)</t>
    <phoneticPr fontId="3" type="noConversion"/>
  </si>
  <si>
    <t>감가상각비</t>
    <phoneticPr fontId="3" type="noConversion"/>
  </si>
  <si>
    <t>대체</t>
    <phoneticPr fontId="3" type="noConversion"/>
  </si>
  <si>
    <t>기말</t>
    <phoneticPr fontId="3" type="noConversion"/>
  </si>
  <si>
    <t>Tickmark Legend</t>
    <phoneticPr fontId="5" type="noConversion"/>
  </si>
  <si>
    <t>전기감사보고서와 대사</t>
    <phoneticPr fontId="5" type="noConversion"/>
  </si>
  <si>
    <r>
      <t>총계정원장과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charset val="129"/>
        <scheme val="minor"/>
      </rPr>
      <t>대사</t>
    </r>
    <phoneticPr fontId="5" type="noConversion"/>
  </si>
  <si>
    <t>합산검증</t>
    <phoneticPr fontId="5" type="noConversion"/>
  </si>
  <si>
    <t>3. 감사결론</t>
    <phoneticPr fontId="3" type="noConversion"/>
  </si>
  <si>
    <t>중요한 왜곡사항이 발견되지 아니함.</t>
  </si>
  <si>
    <t>감가상각비 재계산 검증</t>
    <phoneticPr fontId="3" type="noConversion"/>
  </si>
  <si>
    <t>유형자산 처분/취득 Test</t>
    <phoneticPr fontId="3" type="noConversion"/>
  </si>
  <si>
    <t>G300</t>
    <phoneticPr fontId="3" type="noConversion"/>
  </si>
  <si>
    <t>은행조회서 대사</t>
  </si>
  <si>
    <t>구          분</t>
  </si>
  <si>
    <t>은    행    명</t>
  </si>
  <si>
    <t>계좌번호</t>
  </si>
  <si>
    <t>명세서 금액</t>
    <phoneticPr fontId="5" type="noConversion"/>
  </si>
  <si>
    <t>은행조회서 금액</t>
    <phoneticPr fontId="5" type="noConversion"/>
  </si>
  <si>
    <t>차액</t>
    <phoneticPr fontId="5" type="noConversion"/>
  </si>
  <si>
    <t>은행조회서 Ref.</t>
    <phoneticPr fontId="137" type="noConversion"/>
  </si>
  <si>
    <t>비고</t>
    <phoneticPr fontId="137" type="noConversion"/>
  </si>
  <si>
    <t>현금및현금성자산 및 장·단기금융상품의 실재성 확인</t>
  </si>
  <si>
    <t>보통예금 계</t>
    <phoneticPr fontId="3" type="noConversion"/>
  </si>
  <si>
    <r>
      <t>정기</t>
    </r>
    <r>
      <rPr>
        <sz val="11"/>
        <color theme="1"/>
        <rFont val="맑은 고딕"/>
        <family val="3"/>
        <charset val="129"/>
      </rPr>
      <t>·</t>
    </r>
    <r>
      <rPr>
        <sz val="11"/>
        <color theme="1"/>
        <rFont val="맑은 고딕"/>
        <family val="2"/>
        <charset val="129"/>
        <scheme val="minor"/>
      </rPr>
      <t>예적금 계</t>
    </r>
    <phoneticPr fontId="3" type="noConversion"/>
  </si>
  <si>
    <t>씨티은행양도성예금증서</t>
  </si>
  <si>
    <t>만기자유정기예탁금203</t>
  </si>
  <si>
    <t>기타단기금융상품 계</t>
    <phoneticPr fontId="3" type="noConversion"/>
  </si>
  <si>
    <t>장기성예금 계</t>
    <phoneticPr fontId="3" type="noConversion"/>
  </si>
  <si>
    <t>현대화재보험</t>
  </si>
  <si>
    <t>보통예금</t>
  </si>
  <si>
    <t>외환은행</t>
  </si>
  <si>
    <t>우리은행</t>
  </si>
  <si>
    <t>제일은행</t>
  </si>
  <si>
    <t>중소기업은행</t>
  </si>
  <si>
    <t>하나은행</t>
  </si>
  <si>
    <t>630-007772-193</t>
  </si>
  <si>
    <t>1005-601-152722</t>
  </si>
  <si>
    <t>500-056038-13-001</t>
  </si>
  <si>
    <t>111-20-483428</t>
  </si>
  <si>
    <t>111-20-561129</t>
  </si>
  <si>
    <t>117-20-163826</t>
  </si>
  <si>
    <t>117-20-213159</t>
  </si>
  <si>
    <t>401-20-547997</t>
  </si>
  <si>
    <t>129-019815-01-012</t>
  </si>
  <si>
    <t>178-910025-54604</t>
  </si>
  <si>
    <t>국민은행</t>
  </si>
  <si>
    <t>농협은행</t>
  </si>
  <si>
    <t>079-01-0405-971</t>
  </si>
  <si>
    <t>079-25-0041-019</t>
  </si>
  <si>
    <t>079801-04-001536</t>
  </si>
  <si>
    <t>468001-01-004532</t>
  </si>
  <si>
    <t>1279-01-000450</t>
  </si>
  <si>
    <t>1279-01-000587</t>
  </si>
  <si>
    <t>1279-01-000591</t>
  </si>
  <si>
    <t>1279-01-000602</t>
  </si>
  <si>
    <t>1279-01-000615</t>
  </si>
  <si>
    <t>1279-01-000690</t>
  </si>
  <si>
    <t>1279-01-000798</t>
  </si>
  <si>
    <t>1279-01-000801</t>
  </si>
  <si>
    <t>1279-17-000155</t>
  </si>
  <si>
    <t>1279-17-000171</t>
  </si>
  <si>
    <t>1279-17-000200</t>
  </si>
  <si>
    <t>1279-17-000494</t>
  </si>
  <si>
    <t>317-0001-0522-81</t>
  </si>
  <si>
    <t>317-0002-0041-31</t>
  </si>
  <si>
    <t>317-0002-3611-11</t>
  </si>
  <si>
    <t>3170002794341</t>
  </si>
  <si>
    <t>3170002926721</t>
  </si>
  <si>
    <t>317-0003-0130-81</t>
  </si>
  <si>
    <t>317-000301-3251</t>
  </si>
  <si>
    <t>317-0003-6028-51</t>
  </si>
  <si>
    <t>317-0003-6724-91</t>
  </si>
  <si>
    <t>369-17-005283</t>
  </si>
  <si>
    <t>666-17-000210</t>
  </si>
  <si>
    <t>100-025-729942</t>
  </si>
  <si>
    <t>100-025-729980</t>
  </si>
  <si>
    <t>100-025-729999</t>
  </si>
  <si>
    <t>100026489724</t>
  </si>
  <si>
    <t>신한은행</t>
  </si>
  <si>
    <t>153-00766-242-01</t>
  </si>
  <si>
    <t>153-00768-248-01</t>
  </si>
  <si>
    <t>153-00770-243-01</t>
  </si>
  <si>
    <t>153-00772-249-01</t>
  </si>
  <si>
    <t>153-00847-240-01</t>
  </si>
  <si>
    <t>153-00920-244-01</t>
  </si>
  <si>
    <t>씨티은행</t>
  </si>
  <si>
    <t>정기예적금</t>
  </si>
  <si>
    <t>303-0381-1168-21</t>
  </si>
  <si>
    <t>3030434965201</t>
  </si>
  <si>
    <t>303-0452-9849-01</t>
  </si>
  <si>
    <t>303-0611-8063-51</t>
  </si>
  <si>
    <t>353-2353-2534-63</t>
  </si>
  <si>
    <t>353-2877-5252-03</t>
  </si>
  <si>
    <t>353-2927-0707-43</t>
  </si>
  <si>
    <t>200-134-838423</t>
  </si>
  <si>
    <t>200-134-963901</t>
  </si>
  <si>
    <t>153-02046-345-01</t>
  </si>
  <si>
    <t>153-02147-341-01</t>
  </si>
  <si>
    <t>353-2935-0662-03</t>
  </si>
  <si>
    <t>153-02089-345-01</t>
  </si>
  <si>
    <t>153-02092-348-01</t>
  </si>
  <si>
    <t>153-02113-342-01</t>
  </si>
  <si>
    <t xml:space="preserve">      감가 상각 누 계 액(건물)</t>
    <phoneticPr fontId="3" type="noConversion"/>
  </si>
  <si>
    <t xml:space="preserve">      감가 상각 누 계 액(비품)</t>
    <phoneticPr fontId="3" type="noConversion"/>
  </si>
  <si>
    <t>토지</t>
  </si>
  <si>
    <t>토지</t>
    <phoneticPr fontId="3" type="noConversion"/>
  </si>
  <si>
    <t>건물</t>
  </si>
  <si>
    <t>건물</t>
    <phoneticPr fontId="3" type="noConversion"/>
  </si>
  <si>
    <t>퇴직급여충당금 Detail Test</t>
  </si>
  <si>
    <t>성명</t>
  </si>
  <si>
    <t>유경미</t>
  </si>
  <si>
    <t>2006/11/20</t>
  </si>
  <si>
    <t>이해리</t>
  </si>
  <si>
    <t>2006/12/26</t>
  </si>
  <si>
    <t>김수현</t>
  </si>
  <si>
    <t>2007/02/22</t>
  </si>
  <si>
    <t>홍현희</t>
  </si>
  <si>
    <t>2007/10/15</t>
  </si>
  <si>
    <t>김은경</t>
  </si>
  <si>
    <t>2007/09/03</t>
  </si>
  <si>
    <t>명진숙</t>
  </si>
  <si>
    <t>2008/11/03</t>
  </si>
  <si>
    <t>조형</t>
  </si>
  <si>
    <t>2009/01/01</t>
  </si>
  <si>
    <t>이현미</t>
  </si>
  <si>
    <t>2009/09/01</t>
  </si>
  <si>
    <t>신유미</t>
  </si>
  <si>
    <t>2009/12/28</t>
  </si>
  <si>
    <t>박재석</t>
  </si>
  <si>
    <t>2009/07/01</t>
  </si>
  <si>
    <t>백경원</t>
  </si>
  <si>
    <t>2010/02/16</t>
  </si>
  <si>
    <t>박애순</t>
  </si>
  <si>
    <t>2010/06/25</t>
  </si>
  <si>
    <t>1. 감사절차</t>
  </si>
  <si>
    <t>(1) 퇴직급여충당금 재계산검증</t>
  </si>
  <si>
    <t>(2) 급여대장 대사를 통한 퇴직급여충당금 계산시 적용한 평균임금의 적정성 검토</t>
  </si>
  <si>
    <t>2. 감사결론</t>
  </si>
  <si>
    <t xml:space="preserve"> 평균급여 계산시 적용한 월급여와 급여대장상 급여를 대사하여</t>
  </si>
  <si>
    <t xml:space="preserve"> 차이가 발생하는 인원들에 대하여 차이원인을 분석한 결과 중요한 왜곡사항이 나타나지 않음.</t>
  </si>
  <si>
    <t>재계산</t>
    <phoneticPr fontId="3" type="noConversion"/>
  </si>
  <si>
    <t>Diff</t>
    <phoneticPr fontId="3" type="noConversion"/>
  </si>
  <si>
    <t>계정과목명</t>
  </si>
  <si>
    <t>고정자산명</t>
  </si>
  <si>
    <t>기초가액</t>
  </si>
  <si>
    <t>당기증가액</t>
  </si>
  <si>
    <t>당기감소액</t>
  </si>
  <si>
    <t>전기충당금누계액</t>
  </si>
  <si>
    <t>당기감가상각비</t>
  </si>
  <si>
    <t>전기충당금감소액</t>
  </si>
  <si>
    <t>감가상각누계액</t>
  </si>
  <si>
    <t>미상각잔액</t>
  </si>
  <si>
    <t>취득일자</t>
  </si>
  <si>
    <t>2006/04/12</t>
  </si>
  <si>
    <t>옥탑방수공사 및 외벽발수제공사/신성산업</t>
  </si>
  <si>
    <t>2010/04/30</t>
  </si>
  <si>
    <t>1층사무실,소회의실,화장실/신성산업</t>
  </si>
  <si>
    <t>2010/07/28</t>
  </si>
  <si>
    <t>1층출입문공사 및 5층벽체공사</t>
  </si>
  <si>
    <t>2010/12/23</t>
  </si>
  <si>
    <t>3층 바닥타일공사/현대인테리어</t>
  </si>
  <si>
    <t>2011/06/07</t>
  </si>
  <si>
    <t>계단 복도내 페인트공사/현대인테리어</t>
  </si>
  <si>
    <t>2011/07/27</t>
  </si>
  <si>
    <t>1층 출입구 공사/신성산업</t>
  </si>
  <si>
    <t>2011/12/21</t>
  </si>
  <si>
    <t>건물소방설비보수공사/경원소방주식회사</t>
  </si>
  <si>
    <t>2011/12/26</t>
  </si>
  <si>
    <t>건물누수공사 수리비/현대인테리어</t>
  </si>
  <si>
    <t>2011/12/30</t>
  </si>
  <si>
    <t>[ 건물 소계 ]</t>
  </si>
  <si>
    <t>프린터/조달청</t>
  </si>
  <si>
    <t>2000/03/09</t>
  </si>
  <si>
    <t>책상,앵글,옷걸이</t>
  </si>
  <si>
    <t>2000/03/22</t>
  </si>
  <si>
    <t>전화기/한국데이터통신</t>
  </si>
  <si>
    <t>복사기/신도리코</t>
  </si>
  <si>
    <t>2000/03/31</t>
  </si>
  <si>
    <t>팩시밀리/신도리코</t>
  </si>
  <si>
    <t>컴퓨터 소프트웨어(MS)</t>
  </si>
  <si>
    <t>2000/05/19</t>
  </si>
  <si>
    <t>프린터기/삼성</t>
  </si>
  <si>
    <t>2000/06/30</t>
  </si>
  <si>
    <t>한글 소프트웨어</t>
  </si>
  <si>
    <t>멀티탭</t>
  </si>
  <si>
    <t>컴퓨터/삼성</t>
  </si>
  <si>
    <t>선풍기/신일</t>
  </si>
  <si>
    <t>2000/08/09</t>
  </si>
  <si>
    <t>선풍기</t>
  </si>
  <si>
    <t>불가마히터/(주)휴맥스</t>
  </si>
  <si>
    <t>2000/11/14</t>
  </si>
  <si>
    <t>카메라/사랑의 친구들</t>
  </si>
  <si>
    <t>2000/12/11</t>
  </si>
  <si>
    <t>스캐너/삼성</t>
  </si>
  <si>
    <t>2000/12/12</t>
  </si>
  <si>
    <t>캠코더/파나소닉</t>
  </si>
  <si>
    <t>2000/12/27</t>
  </si>
  <si>
    <t>책상/대신OA퍼니처</t>
  </si>
  <si>
    <t>2001/03/13</t>
  </si>
  <si>
    <t>책장/대신OA퍼니처</t>
  </si>
  <si>
    <t>3단서랍/대신OA퍼니처</t>
  </si>
  <si>
    <t>키폰/제일전기통신공사</t>
  </si>
  <si>
    <t>전화주장치/제일전기통신공사</t>
  </si>
  <si>
    <t>폴라로이드/아남니콘</t>
  </si>
  <si>
    <t>2001/04/25</t>
  </si>
  <si>
    <t>에어컨/삼성</t>
  </si>
  <si>
    <t>2001/05/25</t>
  </si>
  <si>
    <t>녹음기/파나소닉</t>
  </si>
  <si>
    <t>2001/08/23</t>
  </si>
  <si>
    <t>인터넷공유기</t>
  </si>
  <si>
    <t>2001/09/11</t>
  </si>
  <si>
    <t>엔설링머신</t>
  </si>
  <si>
    <t>2001/10/12</t>
  </si>
  <si>
    <t>디지털카메라/코닥</t>
  </si>
  <si>
    <t>2001/12/28</t>
  </si>
  <si>
    <t>일반전화기/엘지통신공사</t>
  </si>
  <si>
    <t>2003/02/13</t>
  </si>
  <si>
    <t>키폰전화기/엘지통신공사</t>
  </si>
  <si>
    <t>노트북/엘지하이프라자</t>
  </si>
  <si>
    <t>2003/02/14</t>
  </si>
  <si>
    <t>보조테이블(자립형)/대신OA퍼니처</t>
  </si>
  <si>
    <t>2003/02/28</t>
  </si>
  <si>
    <t>빔프로젝트(교보지원)/다원미디어</t>
  </si>
  <si>
    <t>2003/03/13</t>
  </si>
  <si>
    <t>빔프로젝터(교보지원)/다원미디어</t>
  </si>
  <si>
    <t>2003/08/13</t>
  </si>
  <si>
    <t>컴퓨터(본체)/국제전자</t>
  </si>
  <si>
    <t>2004/01/07</t>
  </si>
  <si>
    <t>프린터/하이마트</t>
  </si>
  <si>
    <t>2004/08/24</t>
  </si>
  <si>
    <t>노트북/전국씨엔씨</t>
  </si>
  <si>
    <t>2005/02/18</t>
  </si>
  <si>
    <t>컴퓨터(본체)/전국씨엔씨</t>
  </si>
  <si>
    <t>책상(대)/퍼시스북스원</t>
  </si>
  <si>
    <t>2005/03/09</t>
  </si>
  <si>
    <t>책상(중)/퍼시스북수원</t>
  </si>
  <si>
    <t>의자/퍼시스북수원</t>
  </si>
  <si>
    <t>캐비닛/퍼시스북수원</t>
  </si>
  <si>
    <t>보조서랍/퍼시스북수원</t>
  </si>
  <si>
    <t>파티션/퍼시스북수원</t>
  </si>
  <si>
    <t>삼성노트북/(주)다노트정보</t>
  </si>
  <si>
    <t>2005/07/29</t>
  </si>
  <si>
    <t>책상/퍼시스북수원</t>
  </si>
  <si>
    <t>2005/08/04</t>
  </si>
  <si>
    <t>컴퓨터본체</t>
  </si>
  <si>
    <t>2006/02/20</t>
  </si>
  <si>
    <t>컴퓨터모니터</t>
  </si>
  <si>
    <t>디지털 카메라 및 부속품</t>
  </si>
  <si>
    <t>2006/03/08</t>
  </si>
  <si>
    <t>근조기제작</t>
  </si>
  <si>
    <t>2006/04/20</t>
  </si>
  <si>
    <t>버티칼</t>
  </si>
  <si>
    <t>2006/07/10</t>
  </si>
  <si>
    <t>응접세트</t>
  </si>
  <si>
    <t>2006/07/19</t>
  </si>
  <si>
    <t>임원용 책상의자</t>
  </si>
  <si>
    <t>컴퓨터</t>
  </si>
  <si>
    <t>사무용 책상 및 파티션</t>
  </si>
  <si>
    <t>2006/07/24</t>
  </si>
  <si>
    <t>벽걸이 에어컨</t>
  </si>
  <si>
    <t>2006/07/26</t>
  </si>
  <si>
    <t>CJ모금방송 전화기</t>
  </si>
  <si>
    <t>2006/09/30</t>
  </si>
  <si>
    <t>회의실 책상, 의자</t>
  </si>
  <si>
    <t>2006/12/14</t>
  </si>
  <si>
    <t>회의실 책상 변경</t>
  </si>
  <si>
    <t>2007/01/09</t>
  </si>
  <si>
    <t>2007/01/13</t>
  </si>
  <si>
    <t>팩스</t>
  </si>
  <si>
    <t>2007/02/05</t>
  </si>
  <si>
    <t>복사기</t>
  </si>
  <si>
    <t>토스터기</t>
  </si>
  <si>
    <t>2007/02/12</t>
  </si>
  <si>
    <t>프린터</t>
  </si>
  <si>
    <t>2007/02/21</t>
  </si>
  <si>
    <t>스케너</t>
  </si>
  <si>
    <t>썬버너</t>
  </si>
  <si>
    <t>2007/03/05</t>
  </si>
  <si>
    <t>바베큐그릴</t>
  </si>
  <si>
    <t>2007/03/09</t>
  </si>
  <si>
    <t>전기밥솥</t>
  </si>
  <si>
    <t>사무실의자</t>
  </si>
  <si>
    <t>2007/03/23</t>
  </si>
  <si>
    <t>키폰전화기 및 설치비</t>
  </si>
  <si>
    <t>2007/04/03</t>
  </si>
  <si>
    <t>에어컨 구입 및 설치비</t>
  </si>
  <si>
    <t>2007/05/18</t>
  </si>
  <si>
    <t>2007/05/23</t>
  </si>
  <si>
    <t>천공기</t>
  </si>
  <si>
    <t>2007/07/02</t>
  </si>
  <si>
    <t>모금방송용 전화기</t>
  </si>
  <si>
    <t>2007/07/04</t>
  </si>
  <si>
    <t>찻잔</t>
  </si>
  <si>
    <t>2007/07/06</t>
  </si>
  <si>
    <t>티스푼</t>
  </si>
  <si>
    <t>2007/07/14</t>
  </si>
  <si>
    <t>컴퓨터 및 주변기기</t>
  </si>
  <si>
    <t>2007/08/02</t>
  </si>
  <si>
    <t>컴퓨터백신소프트프로그램</t>
  </si>
  <si>
    <t>2007/08/06</t>
  </si>
  <si>
    <t>지하창고 책장</t>
  </si>
  <si>
    <t>2007/12/13</t>
  </si>
  <si>
    <t>문서세단기</t>
  </si>
  <si>
    <t>2008/01/24</t>
  </si>
  <si>
    <t>사무용 의자</t>
  </si>
  <si>
    <t>2008/01/25</t>
  </si>
  <si>
    <t>책상 등 사무용 가구</t>
  </si>
  <si>
    <t>2008/04/03</t>
  </si>
  <si>
    <t>컴퓨터 모니터,본체</t>
  </si>
  <si>
    <t>2008/04/04</t>
  </si>
  <si>
    <t>프린트</t>
  </si>
  <si>
    <t>2008/04/24</t>
  </si>
  <si>
    <t>2008/05/02</t>
  </si>
  <si>
    <t>금고구입비</t>
  </si>
  <si>
    <t>2009/04/16</t>
  </si>
  <si>
    <t>컴퓨터 본체</t>
  </si>
  <si>
    <t>2009/06/12</t>
  </si>
  <si>
    <t>2009/09/02</t>
  </si>
  <si>
    <t>정품소프트웨어/리고텍</t>
  </si>
  <si>
    <t>2010/03/19</t>
  </si>
  <si>
    <t>기부자관리프로그램/휴먼소프트웨어</t>
  </si>
  <si>
    <t>2010/05/17</t>
  </si>
  <si>
    <t>더존예산회계및 인사급여</t>
  </si>
  <si>
    <t>2010/06/30</t>
  </si>
  <si>
    <t>업무용 컴퓨터/리고텍</t>
  </si>
  <si>
    <t>사무처 컴퓨터/에스엠플러스</t>
  </si>
  <si>
    <t>2011/02/14</t>
  </si>
  <si>
    <t>빔프로젝트</t>
  </si>
  <si>
    <t>2006/04/19</t>
  </si>
  <si>
    <t>[ 비품 소계 ]</t>
  </si>
  <si>
    <t>상각월수</t>
    <phoneticPr fontId="3" type="noConversion"/>
  </si>
  <si>
    <t>건물</t>
    <phoneticPr fontId="3" type="noConversion"/>
  </si>
  <si>
    <t>내용연수</t>
    <phoneticPr fontId="3" type="noConversion"/>
  </si>
  <si>
    <t>상각률</t>
    <phoneticPr fontId="3" type="noConversion"/>
  </si>
  <si>
    <t>상각월수</t>
    <phoneticPr fontId="3" type="noConversion"/>
  </si>
  <si>
    <t>재계산</t>
    <phoneticPr fontId="3" type="noConversion"/>
  </si>
  <si>
    <t>Diff</t>
    <phoneticPr fontId="3" type="noConversion"/>
  </si>
  <si>
    <t>감가상각누계액(건물)</t>
    <phoneticPr fontId="3" type="noConversion"/>
  </si>
  <si>
    <t>감가상각비(판관비)</t>
    <phoneticPr fontId="3" type="noConversion"/>
  </si>
  <si>
    <t>건물</t>
    <phoneticPr fontId="3" type="noConversion"/>
  </si>
  <si>
    <t>시설장비유지비(판관비)</t>
    <phoneticPr fontId="3" type="noConversion"/>
  </si>
  <si>
    <t>사원명</t>
  </si>
  <si>
    <t>사업장명</t>
  </si>
  <si>
    <t>부서명</t>
  </si>
  <si>
    <t>직책명</t>
  </si>
  <si>
    <t>계정유형명</t>
  </si>
  <si>
    <t>입사일</t>
  </si>
  <si>
    <t>근무일수</t>
  </si>
  <si>
    <t>근속년수</t>
  </si>
  <si>
    <t>평균임금</t>
  </si>
  <si>
    <t>퇴직추계액</t>
  </si>
  <si>
    <t>2011년 10월</t>
  </si>
  <si>
    <t>2011년 11월</t>
  </si>
  <si>
    <t>2011년 12월</t>
  </si>
  <si>
    <t>(재)한국여성재단본사</t>
  </si>
  <si>
    <t>경영지원팀</t>
  </si>
  <si>
    <t>대리</t>
  </si>
  <si>
    <t>사원계정</t>
  </si>
  <si>
    <t>1868일</t>
  </si>
  <si>
    <t>5년2개월</t>
  </si>
  <si>
    <t>지원사업팀</t>
  </si>
  <si>
    <t>과장</t>
  </si>
  <si>
    <t>1832일</t>
  </si>
  <si>
    <t>5년1개월</t>
  </si>
  <si>
    <t>1774일</t>
  </si>
  <si>
    <t>4년11개월</t>
  </si>
  <si>
    <t>여성경제사업팀</t>
  </si>
  <si>
    <t>차장</t>
  </si>
  <si>
    <t>1539일</t>
  </si>
  <si>
    <t>4년3개월</t>
  </si>
  <si>
    <t>기획홍보팀</t>
  </si>
  <si>
    <t>1581일</t>
  </si>
  <si>
    <t>4년4개월</t>
  </si>
  <si>
    <t>팀장</t>
  </si>
  <si>
    <t>1154일</t>
  </si>
  <si>
    <t>3년2개월</t>
  </si>
  <si>
    <t>이사장</t>
  </si>
  <si>
    <t>임원계정</t>
  </si>
  <si>
    <t>1095일</t>
  </si>
  <si>
    <t>3년</t>
  </si>
  <si>
    <t>852일</t>
  </si>
  <si>
    <t>2년4개월</t>
  </si>
  <si>
    <t>734일</t>
  </si>
  <si>
    <t>2년1개월</t>
  </si>
  <si>
    <t>부단장</t>
  </si>
  <si>
    <t>914일</t>
  </si>
  <si>
    <t>2년6개월</t>
  </si>
  <si>
    <t>684일</t>
  </si>
  <si>
    <t>1년11개월</t>
  </si>
  <si>
    <t>555일</t>
  </si>
  <si>
    <t>1년7개월</t>
  </si>
  <si>
    <t>총계</t>
  </si>
  <si>
    <t>근속일수</t>
    <phoneticPr fontId="3" type="noConversion"/>
  </si>
  <si>
    <t>월평균급여</t>
    <phoneticPr fontId="3" type="noConversion"/>
  </si>
  <si>
    <t>EE100</t>
    <phoneticPr fontId="3" type="noConversion"/>
  </si>
  <si>
    <t>급여분석</t>
  </si>
  <si>
    <t>R100</t>
  </si>
  <si>
    <t>판관비 ARP 및 Fluctuation Test</t>
  </si>
  <si>
    <t>R200</t>
  </si>
  <si>
    <t>판관비 TOT Test</t>
  </si>
  <si>
    <t>R300</t>
    <phoneticPr fontId="3" type="noConversion"/>
  </si>
  <si>
    <t>1. 급여대장 대사 Test</t>
    <phoneticPr fontId="5" type="noConversion"/>
  </si>
  <si>
    <t xml:space="preserve">월별 구분 </t>
    <phoneticPr fontId="5" type="noConversion"/>
  </si>
  <si>
    <t>급여</t>
    <phoneticPr fontId="5" type="noConversion"/>
  </si>
  <si>
    <t>합계</t>
    <phoneticPr fontId="137" type="noConversion"/>
  </si>
  <si>
    <t>1월</t>
    <phoneticPr fontId="5" type="noConversion"/>
  </si>
  <si>
    <t>2월</t>
    <phoneticPr fontId="5" type="noConversion"/>
  </si>
  <si>
    <t>3월</t>
  </si>
  <si>
    <r>
      <t>4월</t>
    </r>
    <r>
      <rPr>
        <sz val="10"/>
        <rFont val="바탕"/>
        <family val="1"/>
        <charset val="129"/>
      </rPr>
      <t/>
    </r>
  </si>
  <si>
    <r>
      <t>5월</t>
    </r>
    <r>
      <rPr>
        <sz val="10"/>
        <rFont val="바탕"/>
        <family val="1"/>
        <charset val="129"/>
      </rPr>
      <t/>
    </r>
  </si>
  <si>
    <r>
      <t>6월</t>
    </r>
    <r>
      <rPr>
        <sz val="10"/>
        <rFont val="바탕"/>
        <family val="1"/>
        <charset val="129"/>
      </rPr>
      <t/>
    </r>
  </si>
  <si>
    <t>7월</t>
    <phoneticPr fontId="5" type="noConversion"/>
  </si>
  <si>
    <t>8월</t>
    <phoneticPr fontId="5" type="noConversion"/>
  </si>
  <si>
    <t>9월</t>
    <phoneticPr fontId="5" type="noConversion"/>
  </si>
  <si>
    <t>10월</t>
    <phoneticPr fontId="5" type="noConversion"/>
  </si>
  <si>
    <t>11월</t>
    <phoneticPr fontId="5" type="noConversion"/>
  </si>
  <si>
    <t>12월</t>
    <phoneticPr fontId="5" type="noConversion"/>
  </si>
  <si>
    <r>
      <t>월별</t>
    </r>
    <r>
      <rPr>
        <sz val="10"/>
        <rFont val="맑은 고딕"/>
        <family val="3"/>
        <charset val="129"/>
        <scheme val="minor"/>
      </rPr>
      <t xml:space="preserve"> 구분 </t>
    </r>
    <phoneticPr fontId="5" type="noConversion"/>
  </si>
  <si>
    <t>원장 총계</t>
    <phoneticPr fontId="5" type="noConversion"/>
  </si>
  <si>
    <t>Diff</t>
    <phoneticPr fontId="5" type="noConversion"/>
  </si>
  <si>
    <t>비고</t>
    <phoneticPr fontId="5" type="noConversion"/>
  </si>
  <si>
    <t>1월</t>
    <phoneticPr fontId="5" type="noConversion"/>
  </si>
  <si>
    <t>계</t>
    <phoneticPr fontId="3" type="noConversion"/>
  </si>
  <si>
    <t>2. 급여 지급 Test</t>
    <phoneticPr fontId="5" type="noConversion"/>
  </si>
  <si>
    <t>매월 급여에 대해서 원천징수이행상황신고서와 급여대장상의 급여(비과세 제외)를 대사하였으며,</t>
    <phoneticPr fontId="137" type="noConversion"/>
  </si>
  <si>
    <t>차이 없음.</t>
    <phoneticPr fontId="137" type="noConversion"/>
  </si>
  <si>
    <t>날짜</t>
  </si>
  <si>
    <t>적   요   란</t>
  </si>
  <si>
    <t>코드</t>
  </si>
  <si>
    <t>거래처명</t>
  </si>
  <si>
    <t>사업자등록번호</t>
  </si>
  <si>
    <t>차    변</t>
  </si>
  <si>
    <t>잔    액</t>
  </si>
  <si>
    <t>2011/02/01</t>
  </si>
  <si>
    <t>2011년 사업계획 팀장 워크샵시 식대외</t>
  </si>
  <si>
    <t>가나한식보쌈</t>
  </si>
  <si>
    <t>아리스타홍대7호점</t>
  </si>
  <si>
    <t>대우하나마트</t>
  </si>
  <si>
    <t>2011/02/08</t>
  </si>
  <si>
    <t>사무총장 이취임식 회의비</t>
  </si>
  <si>
    <t>일파스토레</t>
  </si>
  <si>
    <t>2011/02/24</t>
  </si>
  <si>
    <t>2011년 1차 정기이사회 회의시 식대</t>
  </si>
  <si>
    <t>경복궁서교점</t>
  </si>
  <si>
    <t>재단 이사회관련비용 정산의 건</t>
  </si>
  <si>
    <t>2011/06/21</t>
  </si>
  <si>
    <t>재단 운영위경비 정산의 건</t>
  </si>
  <si>
    <t>카페자스</t>
  </si>
  <si>
    <t>대우하나로마트</t>
  </si>
  <si>
    <t>청기와주차장</t>
  </si>
  <si>
    <t>2011/06/30</t>
  </si>
  <si>
    <t>2011년 제2차 정기이사회 회의시 식대 및 음료</t>
  </si>
  <si>
    <t>아웃백스테이크하우스코리아</t>
  </si>
  <si>
    <t>2011/09/22</t>
  </si>
  <si>
    <t>재단 운영위회의 경비 지출의 건</t>
  </si>
  <si>
    <t>2011/11/04</t>
  </si>
  <si>
    <t>운영위원회 회의비 지출의 건</t>
  </si>
  <si>
    <t>아웃백</t>
  </si>
  <si>
    <t>2011/11/09</t>
  </si>
  <si>
    <t>이사회 회의비 지출의 건</t>
  </si>
  <si>
    <t>경복궁</t>
  </si>
  <si>
    <t>2011/11/17</t>
  </si>
  <si>
    <t>2011년 제3차 정기이사회 회의시 식대 지출의 건</t>
  </si>
  <si>
    <t>(주)달개비</t>
  </si>
  <si>
    <t>리치몬드과자점</t>
  </si>
  <si>
    <t>다문화가정 출산지원사업 심사평가운영비 잔액 이체</t>
  </si>
  <si>
    <t>2011/12/31</t>
  </si>
  <si>
    <t>손익대체(비용)</t>
  </si>
  <si>
    <t>계정명</t>
    <phoneticPr fontId="3" type="noConversion"/>
  </si>
  <si>
    <t>2011/01/18</t>
  </si>
  <si>
    <t>실습생 기관방문비용 지출의 건</t>
  </si>
  <si>
    <t>패밀리마트 종로재동점</t>
  </si>
  <si>
    <t>2011/01/19</t>
  </si>
  <si>
    <t>직원 및 봉사자 식대 정산의 건</t>
  </si>
  <si>
    <t>도미노피자</t>
  </si>
  <si>
    <t>아리스타</t>
  </si>
  <si>
    <t>문서방칡냉면</t>
  </si>
  <si>
    <t>2011/01/21</t>
  </si>
  <si>
    <t>이사장 업무추진비 지출의 건</t>
  </si>
  <si>
    <t>(주)달인디아</t>
  </si>
  <si>
    <t>2011/01/26</t>
  </si>
  <si>
    <t>미니스톱</t>
  </si>
  <si>
    <t>2011/01/27</t>
  </si>
  <si>
    <t>기획홍보팀 업무추진비 지출의 건</t>
  </si>
  <si>
    <t>10448</t>
  </si>
  <si>
    <t>아이</t>
  </si>
  <si>
    <t>2011/01/31</t>
  </si>
  <si>
    <t>플로라</t>
  </si>
  <si>
    <t>외부회계감사 진행비 지출의 건</t>
  </si>
  <si>
    <t>경복궁 서교점</t>
  </si>
  <si>
    <t>10311</t>
  </si>
  <si>
    <t>아리스타(홍대7호점)</t>
  </si>
  <si>
    <t>105-14-83128</t>
  </si>
  <si>
    <t>서교 파리바게뜨</t>
  </si>
  <si>
    <t>로</t>
  </si>
  <si>
    <t>실습종결평가 진행비 지출의 건</t>
  </si>
  <si>
    <t>엔팀홍대점</t>
  </si>
  <si>
    <t>사무총장 업무추진비 지출의 건</t>
  </si>
  <si>
    <t>서울신문사</t>
  </si>
  <si>
    <t>스타벅스광화문점</t>
  </si>
  <si>
    <t>롯데리아</t>
  </si>
  <si>
    <t>오두막</t>
  </si>
  <si>
    <t>신세계이마트은평점</t>
  </si>
  <si>
    <t>강경희</t>
  </si>
  <si>
    <t>2011/02/09</t>
  </si>
  <si>
    <t>내부회계감사 경비정산의 건</t>
  </si>
  <si>
    <t>상하이짬뽕</t>
  </si>
  <si>
    <t>신세계택시</t>
  </si>
  <si>
    <t>원일교통</t>
  </si>
  <si>
    <t>삼성육운</t>
  </si>
  <si>
    <t>번영교통</t>
  </si>
  <si>
    <t>직원석식 정산의 건</t>
  </si>
  <si>
    <t>비비큐</t>
  </si>
  <si>
    <t>2011/02/15</t>
  </si>
  <si>
    <t>축하화환비 정산의 건</t>
  </si>
  <si>
    <t>2011/02/16</t>
  </si>
  <si>
    <t>마포대도식당</t>
  </si>
  <si>
    <t>2011/02/18</t>
  </si>
  <si>
    <t>총무팀 회의비 지출의 건</t>
  </si>
  <si>
    <t>돈까스진</t>
  </si>
  <si>
    <t>서기운수(주)</t>
  </si>
  <si>
    <t>벼레별씨</t>
  </si>
  <si>
    <t>2011/02/21</t>
  </si>
  <si>
    <t>(주)롯데리아보네스뻬브레</t>
  </si>
  <si>
    <t>2011/02/28</t>
  </si>
  <si>
    <t>(주)이니시스</t>
  </si>
  <si>
    <t>외신기자클럽</t>
  </si>
  <si>
    <t>더옐로우</t>
  </si>
  <si>
    <t>선유도</t>
  </si>
  <si>
    <t>글룩</t>
  </si>
  <si>
    <t>2011/03/09</t>
  </si>
  <si>
    <t>리치몬드제과</t>
  </si>
  <si>
    <t>(주)서울신문사</t>
  </si>
  <si>
    <t>2011/03/14</t>
  </si>
  <si>
    <t>Hong chef</t>
  </si>
  <si>
    <t>2011/03/17</t>
  </si>
  <si>
    <t>하이트비어뱅</t>
  </si>
  <si>
    <t>2011/03/22</t>
  </si>
  <si>
    <t>섬소년</t>
  </si>
  <si>
    <t>씨앤케이로스터리</t>
  </si>
  <si>
    <t>총무팀 업무추진비 지출의 건</t>
  </si>
  <si>
    <t>보노보노 홍대점</t>
  </si>
  <si>
    <t>2011/03/23</t>
  </si>
  <si>
    <t>2011/03/28</t>
  </si>
  <si>
    <t>달개비</t>
  </si>
  <si>
    <t>2011/04/04</t>
  </si>
  <si>
    <t>총무팀 신입직원(인턴) 입사에 따른 중식비 지출의 건</t>
  </si>
  <si>
    <t>경복궁 서교점(주)덕용푸드시스템</t>
  </si>
  <si>
    <t>2011/04/06</t>
  </si>
  <si>
    <t>2010년 태평양복지재단 시설개보수사업 배분경비</t>
  </si>
  <si>
    <t>태평양복지재단</t>
  </si>
  <si>
    <t>2011/04/08</t>
  </si>
  <si>
    <t>여명희씨와 기홍팀 오리엔테이션</t>
  </si>
  <si>
    <t>돌꽃</t>
  </si>
  <si>
    <t>2011/04/12</t>
  </si>
  <si>
    <t>이사장 업무추진비의 건</t>
  </si>
  <si>
    <t>2011/04/14</t>
  </si>
  <si>
    <t>2011/04/21</t>
  </si>
  <si>
    <t>더 스테이지</t>
  </si>
  <si>
    <t>2011/04/22</t>
  </si>
  <si>
    <t>사무총장 업무추진의 건</t>
  </si>
  <si>
    <t>맛죽</t>
  </si>
  <si>
    <t>2011/04/27</t>
  </si>
  <si>
    <t>까페자스</t>
  </si>
  <si>
    <t>2011/05/04</t>
  </si>
  <si>
    <t>2011/05/11</t>
  </si>
  <si>
    <t>발대식 관련 기홍팀 식사 지출 건</t>
  </si>
  <si>
    <t>불난고기집</t>
  </si>
  <si>
    <t>웃으러</t>
  </si>
  <si>
    <t>성미산밥상</t>
  </si>
  <si>
    <t>개인택시</t>
  </si>
  <si>
    <t>명화운수(주)</t>
  </si>
  <si>
    <t>2011/05/13</t>
  </si>
  <si>
    <t>빕스 홍대점</t>
  </si>
  <si>
    <t>2011/05/17</t>
  </si>
  <si>
    <t>수련원스카이라운지</t>
  </si>
  <si>
    <t>2011/05/26</t>
  </si>
  <si>
    <t>사무총장 업무추진비 및 교통비 지출의 건</t>
  </si>
  <si>
    <t>홍쉐프 서교점</t>
  </si>
  <si>
    <t>포메인</t>
  </si>
  <si>
    <t>(주)보나비아티제청계광장점</t>
  </si>
  <si>
    <t>경복궁서교점(주)</t>
  </si>
  <si>
    <t>2011/05/30</t>
  </si>
  <si>
    <t>아웃백스테이크하우스</t>
  </si>
  <si>
    <t>2011/05/31</t>
  </si>
  <si>
    <t>2011/06/02</t>
  </si>
  <si>
    <t>2011/06/08</t>
  </si>
  <si>
    <t>2011/06/13</t>
  </si>
  <si>
    <t>고려대정문정산소</t>
  </si>
  <si>
    <t>한국여성단체협의회 창립기념식 티켓 구입의 건</t>
  </si>
  <si>
    <t>한국여성단체협의회</t>
  </si>
  <si>
    <t>2011/06/28</t>
  </si>
  <si>
    <t>한국여성단체연합 후원티켓 구입의 건</t>
  </si>
  <si>
    <t>한국여성단체연합</t>
  </si>
  <si>
    <t>2011/07/04</t>
  </si>
  <si>
    <t>카페베네 동교중앙점</t>
  </si>
  <si>
    <t>김북순큰남비(학동역점)</t>
  </si>
  <si>
    <t>카페베네 신촌로점</t>
  </si>
  <si>
    <t>2011/07/07</t>
  </si>
  <si>
    <t>해바라기마트</t>
  </si>
  <si>
    <t>2011/07/11</t>
  </si>
  <si>
    <t>스마일택시(주)</t>
  </si>
  <si>
    <t>삼신운수(주)</t>
  </si>
  <si>
    <t>2011/07/14</t>
  </si>
  <si>
    <t>2011/07/18</t>
  </si>
  <si>
    <t>GS25천왕역점</t>
  </si>
  <si>
    <t>기획홍보팀 상반기 평가회의 진행비</t>
  </si>
  <si>
    <t>카페베네</t>
  </si>
  <si>
    <t>2011/07/19</t>
  </si>
  <si>
    <t>2011/07/22</t>
  </si>
  <si>
    <t>실습 최종과제발표 진행비 지출의 건</t>
  </si>
  <si>
    <t>2011/07/26</t>
  </si>
  <si>
    <t>포베이</t>
  </si>
  <si>
    <t>2011/07/29</t>
  </si>
  <si>
    <t>2011/08/19</t>
  </si>
  <si>
    <t>연세주유소</t>
  </si>
  <si>
    <t>2011/08/26</t>
  </si>
  <si>
    <t>조양흥진</t>
  </si>
  <si>
    <t>삼기통산(주)</t>
  </si>
  <si>
    <t>덕왕기업</t>
  </si>
  <si>
    <t>까페베네동교중앙점</t>
  </si>
  <si>
    <t>옛날손짜장</t>
  </si>
  <si>
    <t>2011/09/05</t>
  </si>
  <si>
    <t>SEOUL ROYAL HOTEL</t>
  </si>
  <si>
    <t>2011/09/07</t>
  </si>
  <si>
    <t>2011/09/08</t>
  </si>
  <si>
    <t>인천 여성의 전화 방문시 지출의 건</t>
  </si>
  <si>
    <t>동양식품</t>
  </si>
  <si>
    <t>무종리토종순대국</t>
  </si>
  <si>
    <t>카페별</t>
  </si>
  <si>
    <t>더부페마포점</t>
  </si>
  <si>
    <t>(주)리에</t>
  </si>
  <si>
    <t>2011/09/14</t>
  </si>
  <si>
    <t>팀장 모임시 간식비 지출의 건</t>
  </si>
  <si>
    <t>기획홍보팀 회식 지출의 건</t>
  </si>
  <si>
    <t>유끼노하나</t>
  </si>
  <si>
    <t>2011/09/15</t>
  </si>
  <si>
    <t>영성각</t>
  </si>
  <si>
    <t>2011/09/19</t>
  </si>
  <si>
    <t>피아포</t>
  </si>
  <si>
    <t>문상관련 사무총장 방문교통비 지출의 건</t>
  </si>
  <si>
    <t>철도승차권</t>
  </si>
  <si>
    <t>아시아나항공</t>
  </si>
  <si>
    <t>2011/09/29</t>
  </si>
  <si>
    <t>2011/10/10</t>
  </si>
  <si>
    <t>사무총장 교통비 지출의 건</t>
  </si>
  <si>
    <t>교통비내부영수증</t>
  </si>
  <si>
    <t>세븐시즌</t>
  </si>
  <si>
    <t>2011/10/11</t>
  </si>
  <si>
    <t>업무회계 감사 방문시 지출의 건</t>
  </si>
  <si>
    <t>나래꽃방</t>
  </si>
  <si>
    <t>빚은교대역점</t>
  </si>
  <si>
    <t>2011/10/14</t>
  </si>
  <si>
    <t>청기와예식홀</t>
  </si>
  <si>
    <t>2011/10/17</t>
  </si>
  <si>
    <t>중복출금에 따른 이체(사무총장 업무추진-7/27일자 사무총장카드사용한 마포대도식당)</t>
  </si>
  <si>
    <t>2011/10/18</t>
  </si>
  <si>
    <t>(주)호석교통</t>
  </si>
  <si>
    <t>대성교통(주)</t>
  </si>
  <si>
    <t>작은숲</t>
  </si>
  <si>
    <t>광일통운</t>
  </si>
  <si>
    <t>2011/10/31</t>
  </si>
  <si>
    <t>대현유통문막상주유소</t>
  </si>
  <si>
    <t>2011/11/01</t>
  </si>
  <si>
    <t>한국도로공사</t>
  </si>
  <si>
    <t>2011/11/02</t>
  </si>
  <si>
    <t>2011/11/03</t>
  </si>
  <si>
    <t>유천칡냉면서마포점</t>
  </si>
  <si>
    <t>T-money택시</t>
  </si>
  <si>
    <t>신영산업운수(주)</t>
  </si>
  <si>
    <t>교동전선생</t>
  </si>
  <si>
    <t>평창한우마당</t>
  </si>
  <si>
    <t>2011/11/15</t>
  </si>
  <si>
    <t>미니스톱서교2점</t>
  </si>
  <si>
    <t>중복출금에 따른 이체(사무총장 업무추진-9/18일자 사무총장카드사용한 유천칡냉면)</t>
  </si>
  <si>
    <t>2011/11/21</t>
  </si>
  <si>
    <t>남창흥업(주)</t>
  </si>
  <si>
    <t>카페라리시촌점</t>
  </si>
  <si>
    <t>2011/11/30</t>
  </si>
  <si>
    <t>더소호</t>
  </si>
  <si>
    <t>대진흥업</t>
  </si>
  <si>
    <t>명성교통</t>
  </si>
  <si>
    <t>파리크라상</t>
  </si>
  <si>
    <t>코레일유통</t>
  </si>
  <si>
    <t>에어부산</t>
  </si>
  <si>
    <t>코레일</t>
  </si>
  <si>
    <t>개인택시(한병수)</t>
  </si>
  <si>
    <t>시루마루</t>
  </si>
  <si>
    <t>코리아세븐</t>
  </si>
  <si>
    <t>2011/12/02</t>
  </si>
  <si>
    <t>배분경비 운영비계좌로 이체-두리홈</t>
  </si>
  <si>
    <t>2011/12/07</t>
  </si>
  <si>
    <t>팀장회의시 식대 및 음료 지출의 건</t>
  </si>
  <si>
    <t>2011/12/12</t>
  </si>
  <si>
    <t>경성자동차교동(주)</t>
  </si>
  <si>
    <t>파리바게뜨</t>
  </si>
  <si>
    <t>2011/12/14</t>
  </si>
  <si>
    <t>원일교통(주)</t>
  </si>
  <si>
    <t>2011/12/16</t>
  </si>
  <si>
    <t>오요리</t>
  </si>
  <si>
    <t>2011/12/19</t>
  </si>
  <si>
    <t>2011/12/23</t>
  </si>
  <si>
    <t>2011/12/28</t>
  </si>
  <si>
    <t>(주)이비카드/경기</t>
  </si>
  <si>
    <t>오자네왔는가</t>
  </si>
  <si>
    <t>2011/12/29</t>
  </si>
  <si>
    <t>스타벅스코리아</t>
  </si>
  <si>
    <t>회의비</t>
    <phoneticPr fontId="3" type="noConversion"/>
  </si>
  <si>
    <t>기관운영비</t>
    <phoneticPr fontId="3" type="noConversion"/>
  </si>
  <si>
    <t>2011/01/25</t>
  </si>
  <si>
    <t>2011년 1월 직책보조비 지급 건</t>
  </si>
  <si>
    <t>2011년 1월 직책보조비</t>
  </si>
  <si>
    <t>2011/02/25</t>
  </si>
  <si>
    <t>2011년 2월 직책보조비 지급 건</t>
  </si>
  <si>
    <t>2011년 2월 직책보조비</t>
  </si>
  <si>
    <t>2011/03/25</t>
  </si>
  <si>
    <t>2011년 3월 직책보조비 지급 건</t>
  </si>
  <si>
    <t>2011년 3월 직책보조비</t>
  </si>
  <si>
    <t>2011/04/25</t>
  </si>
  <si>
    <t>2011년 4월 직책보조비 지급 건</t>
  </si>
  <si>
    <t>2011년 4월 직책보조비</t>
  </si>
  <si>
    <t>2011/05/25</t>
  </si>
  <si>
    <t>2011년 5월 직책보조비 지급 건</t>
  </si>
  <si>
    <t>2011년 5월 직책보조비</t>
  </si>
  <si>
    <t>2011/06/24</t>
  </si>
  <si>
    <t>2011년 6월 직책보조비</t>
  </si>
  <si>
    <t>2011/07/25</t>
  </si>
  <si>
    <t>2011년 7월 직책보조비 지급 건</t>
  </si>
  <si>
    <t>2011년 7월 직책보조비</t>
  </si>
  <si>
    <t>2011/08/25</t>
  </si>
  <si>
    <t>2011년 8월 직책보조비 지급 건</t>
  </si>
  <si>
    <t>2011년 8월 직책보조비</t>
  </si>
  <si>
    <t>2011/09/23</t>
  </si>
  <si>
    <t>2011년 9월 직책보조비 지급 건</t>
  </si>
  <si>
    <t>2011년 9월 직책보조비</t>
  </si>
  <si>
    <t>2011/10/25</t>
  </si>
  <si>
    <t>2011년 10월 직책보조비 지급 건</t>
  </si>
  <si>
    <t>2011년 10월 직책보조비</t>
  </si>
  <si>
    <t>2011/11/25</t>
  </si>
  <si>
    <t>2011년 11월 직책보조비 지급 건</t>
  </si>
  <si>
    <t>2011년 11월 직책보조비</t>
  </si>
  <si>
    <t>2011년 12월 직책보조비 지급 건</t>
  </si>
  <si>
    <t>2011년 12월 직책보조비</t>
  </si>
  <si>
    <t>직책보조비</t>
    <phoneticPr fontId="3" type="noConversion"/>
  </si>
  <si>
    <t>1. 제목: 2011년 세계여성재단네트워크(INWF) 가입승인에 따른 멤</t>
  </si>
  <si>
    <t>INWF</t>
  </si>
  <si>
    <t>농협</t>
  </si>
  <si>
    <t>1. 제목: 2011년 세계여성재단네트워크(INWF)아시아지역회의 참가경</t>
  </si>
  <si>
    <t>호성투어</t>
  </si>
  <si>
    <t>2011/10/19</t>
  </si>
  <si>
    <t>1.제목: 세계여성재단네트워크 해외출장 정산</t>
  </si>
  <si>
    <t>한국여성재단 참가비</t>
  </si>
  <si>
    <t>Hanoi Grand Hotel</t>
  </si>
  <si>
    <t>Hai Hing</t>
  </si>
  <si>
    <t>방글라데시대사관</t>
  </si>
  <si>
    <t>가야금</t>
  </si>
  <si>
    <t>인천에어네트워크</t>
  </si>
  <si>
    <t>삼성화재여행자보험</t>
  </si>
  <si>
    <t>대외협력비</t>
    <phoneticPr fontId="3" type="noConversion"/>
  </si>
  <si>
    <t>사무실 화장실 화장지 구입비 정산의 건</t>
  </si>
  <si>
    <t>10209</t>
  </si>
  <si>
    <t>유한지앤에스(주)</t>
  </si>
  <si>
    <t>117-81-44417</t>
  </si>
  <si>
    <t>2011/01/24</t>
  </si>
  <si>
    <t>10363</t>
  </si>
  <si>
    <t>샘물공덕</t>
  </si>
  <si>
    <t>105-27-69015</t>
  </si>
  <si>
    <t>2011년 2월 식대보조비 지급 건</t>
  </si>
  <si>
    <t>2011년 2월 식대보조비</t>
  </si>
  <si>
    <t>2011/01/28</t>
  </si>
  <si>
    <t>2011년 직원 명절(설)선물비 지급의 건</t>
  </si>
  <si>
    <t>설 선물비</t>
  </si>
  <si>
    <t>사무총장 송별회 진행비 지출의 건</t>
  </si>
  <si>
    <t>삼국지</t>
  </si>
  <si>
    <t>2011년 3월 식대보조비 지급 건</t>
  </si>
  <si>
    <t>2011년 3월 식대보조</t>
  </si>
  <si>
    <t>사무총장 이취임식 점심식대</t>
  </si>
  <si>
    <t>수도시락</t>
  </si>
  <si>
    <t>사무총장 이취임식 케잌 구입비</t>
  </si>
  <si>
    <t>뚜레쥬르</t>
  </si>
  <si>
    <t>리더쉽교육 간식비 지출의 건</t>
  </si>
  <si>
    <t>2011년 4월 식대보조비 지급 건</t>
  </si>
  <si>
    <t>2011년 4월 식대보조</t>
  </si>
  <si>
    <t>2011/03/30</t>
  </si>
  <si>
    <t>교보짧은여행긴호흡 잔액 반납 이전</t>
  </si>
  <si>
    <t>2010년 태평양복지재산 시설개보수사업 배분경비</t>
  </si>
  <si>
    <t>2011/04/18</t>
  </si>
  <si>
    <t>재단 비상약품 구입비 지출의 건</t>
  </si>
  <si>
    <t>10362</t>
  </si>
  <si>
    <t>강원약국</t>
  </si>
  <si>
    <t>210-36-42421</t>
  </si>
  <si>
    <t>2011년 5월 식대보조비 지급 건</t>
  </si>
  <si>
    <t>2011년 5월 식대보조</t>
  </si>
  <si>
    <t>사무처 직원 간식비 지출의 건</t>
  </si>
  <si>
    <t>2011년 6월 식대보조비 지급 건</t>
  </si>
  <si>
    <t>2011년 6월 식대보조</t>
  </si>
  <si>
    <t>2011/06/20</t>
  </si>
  <si>
    <t>계정대체-2011 미혼모 지정기탁 사업 배분경비 지출에 관한 건</t>
  </si>
  <si>
    <t>미혼모지정기탁</t>
  </si>
  <si>
    <t>2011년 7월 식대보조</t>
  </si>
  <si>
    <t>생수대금 지출의 건</t>
  </si>
  <si>
    <t>기획홍보팀장(송선민) 송별회 진행비 지출의 건</t>
  </si>
  <si>
    <t>2011/07/01</t>
  </si>
  <si>
    <t>복리후생비 지출의 건</t>
  </si>
  <si>
    <t>2011년 8월 식대보조비 지급 건</t>
  </si>
  <si>
    <t>2011년 8월 식대보조</t>
  </si>
  <si>
    <t>2011/07/28</t>
  </si>
  <si>
    <t>2011년 9월 식대보조비 지급 건</t>
  </si>
  <si>
    <t>2011년 9월 식대보조</t>
  </si>
  <si>
    <t>2011/09/01</t>
  </si>
  <si>
    <t>직원복리후생물품 구입의 건</t>
  </si>
  <si>
    <t>2011/09/06</t>
  </si>
  <si>
    <t>11보육사업 사업비반환금 관련의 건</t>
  </si>
  <si>
    <t>11신생아사업 사업비반환금 관련의 건</t>
  </si>
  <si>
    <t>추석 선물비</t>
  </si>
  <si>
    <t>재단 직원회식비 지출의 건</t>
  </si>
  <si>
    <t>낙원방아간</t>
  </si>
  <si>
    <t>김밥천국</t>
  </si>
  <si>
    <t>재단 복리후생물품 구입관련의 건</t>
  </si>
  <si>
    <t>패밀리홈쇼핑(이베이코리아)</t>
  </si>
  <si>
    <t>2011년 10월 식대보조비 지급 건</t>
  </si>
  <si>
    <t>2011년 10월 식대보조</t>
  </si>
  <si>
    <t>생수대금 및 냉온수기 소독비 지출의 건</t>
  </si>
  <si>
    <t>푸름지기</t>
  </si>
  <si>
    <t>2011년 11월 식대보조비 지급 건</t>
  </si>
  <si>
    <t>2011년 11월 식대보조</t>
  </si>
  <si>
    <t>재단 화장실화장지 구입비 지출의 건</t>
  </si>
  <si>
    <t>풀무원 배분경비 대체</t>
  </si>
  <si>
    <t>2011/11/14</t>
  </si>
  <si>
    <t>재단물품구입비 지출의 건</t>
  </si>
  <si>
    <t>퇴사자(박은희) 11월분 식대 환수(11월14일까지 근무,12일분)</t>
  </si>
  <si>
    <t>2011년 12월 식대보조비 지급 건</t>
  </si>
  <si>
    <t>2011년 12월 식대보조</t>
  </si>
  <si>
    <t>2011/11/29</t>
  </si>
  <si>
    <t>2011/12/01</t>
  </si>
  <si>
    <t>BB희망날개 배분경비 잔액 운영비계좌로 이체</t>
  </si>
  <si>
    <t>배분경비 운영비계좌로 이체-미혼모긴급지원기금</t>
  </si>
  <si>
    <t>2011/12/09</t>
  </si>
  <si>
    <t>윤금자 선생님 그림 운반시 식대 지출의건</t>
  </si>
  <si>
    <t>파리바게트 서교</t>
  </si>
  <si>
    <t>2011년 연말직원 식대보조비 지급 건</t>
  </si>
  <si>
    <t>2011년 연말 식대보조</t>
  </si>
  <si>
    <t>재단 직원보증보험비 지출의 건</t>
  </si>
  <si>
    <t>서울보증보험</t>
  </si>
  <si>
    <t>재단 송년모임시 식대 및 음료 지출의 건</t>
  </si>
  <si>
    <t>직원야근식대 지출의 건</t>
  </si>
  <si>
    <t>도미노</t>
  </si>
  <si>
    <t>복리후생비</t>
    <phoneticPr fontId="3" type="noConversion"/>
  </si>
  <si>
    <t>2011/02/23</t>
  </si>
  <si>
    <t>더존주관 교육참가(유경미)에 따른비 사업주환급금</t>
  </si>
  <si>
    <t>1.건명:2011년 외부교육 참가(신유미)</t>
  </si>
  <si>
    <t>유영호</t>
  </si>
  <si>
    <t xml:space="preserve">코바코 광고교육원 2011년 제 1차 전문광고과정 참가 신청 건
</t>
  </si>
  <si>
    <t>코바코</t>
  </si>
  <si>
    <t>2011/03/04</t>
  </si>
  <si>
    <t>10날자사업비 이월</t>
  </si>
  <si>
    <t>2011/03/08</t>
  </si>
  <si>
    <t>'신뢰받는 여성리더를 위한 7H 리더십 워크숍' 교육비 /이상덕</t>
  </si>
  <si>
    <t>10551</t>
  </si>
  <si>
    <t>기타소득</t>
  </si>
  <si>
    <t>여성마라톤대회 직원참가비 정산의 건</t>
  </si>
  <si>
    <t>여성신문사</t>
  </si>
  <si>
    <t>2011/05/16</t>
  </si>
  <si>
    <t>회계실무과정 교육비</t>
  </si>
  <si>
    <t>한국사회복지협의회</t>
  </si>
  <si>
    <t>자원봉사활동 인증관리교육비 신청의 건</t>
  </si>
  <si>
    <t>사회복지협의회(이지스엔터프라이즈)</t>
  </si>
  <si>
    <t>교육훈련비 비용 신청의 건</t>
  </si>
  <si>
    <t xml:space="preserve">사무처 워크숍 숙소 계약금 지출의 건 </t>
  </si>
  <si>
    <t>10532</t>
  </si>
  <si>
    <t>서울유스호스텔</t>
  </si>
  <si>
    <t>201-82-05278</t>
  </si>
  <si>
    <t>2011/06/17</t>
  </si>
  <si>
    <t>1.건명:2011년 외부교육 참가
1.건명 : 2011년 외부교육 참가</t>
  </si>
  <si>
    <t>ODA watch</t>
  </si>
  <si>
    <t>상반기 워크샵 답사 관련 비용 지출의 건</t>
  </si>
  <si>
    <t>자하</t>
  </si>
  <si>
    <t>콜드스톤크리머리 코리아명동점</t>
  </si>
  <si>
    <t>마을버스</t>
  </si>
  <si>
    <t>재단직원 상반기 워크숍 경비 지출의 건</t>
  </si>
  <si>
    <t>구내매점</t>
  </si>
  <si>
    <t>명동세종점</t>
  </si>
  <si>
    <t>비어할레명동점</t>
  </si>
  <si>
    <t>토다이</t>
  </si>
  <si>
    <t>마을버스(5번)</t>
  </si>
  <si>
    <t>서울족발</t>
  </si>
  <si>
    <t>2011/06/29</t>
  </si>
  <si>
    <t>재단직원 상반기 워크샵 관련 상금 지출의건</t>
  </si>
  <si>
    <t>김은경(1팀조장)</t>
  </si>
  <si>
    <t>2011/09/21</t>
  </si>
  <si>
    <t>기부클럽(Giving Club) 구성 및 운영 교육 참가 신청 건</t>
  </si>
  <si>
    <t>도움과나눔</t>
  </si>
  <si>
    <t>2011/10/05</t>
  </si>
  <si>
    <t>하반기 워크샵 답사시 음료 지출의 건</t>
  </si>
  <si>
    <t>파라</t>
  </si>
  <si>
    <t>1.건명:외부교육참가</t>
  </si>
  <si>
    <t>아름다운재단</t>
  </si>
  <si>
    <t>비영리 법인의 증빙관리 교육 참가의 건</t>
  </si>
  <si>
    <t>(주)이나우스아카데미</t>
  </si>
  <si>
    <t>환경재단</t>
  </si>
  <si>
    <t>교육참가(이현미)에 따른비 사업주환급금</t>
  </si>
  <si>
    <t>교육훈련비</t>
    <phoneticPr fontId="3" type="noConversion"/>
  </si>
  <si>
    <t>총무팀 교통카드 충전비 정산의 건</t>
  </si>
  <si>
    <t>전국고속버스운송사업조합</t>
  </si>
  <si>
    <t>교통비 정산의 건</t>
  </si>
  <si>
    <t>택시</t>
  </si>
  <si>
    <t>2011/02/10</t>
  </si>
  <si>
    <t>근로복지공단 설명회 참석에 따른 교통비 지출의 건</t>
  </si>
  <si>
    <t>대경상운(주)</t>
  </si>
  <si>
    <t>총무팀 교통카드 충전의 건</t>
  </si>
  <si>
    <t>미니스톱 서교2점</t>
  </si>
  <si>
    <t>청기와</t>
  </si>
  <si>
    <t>(주)백제운수</t>
  </si>
  <si>
    <t>서울시관리공단</t>
  </si>
  <si>
    <t>서울31아8140</t>
  </si>
  <si>
    <t>서울31아7783</t>
  </si>
  <si>
    <t>서울31바8497</t>
  </si>
  <si>
    <t>동일운수(주)</t>
  </si>
  <si>
    <t>(주)강성교통</t>
  </si>
  <si>
    <t>2011/04/05</t>
  </si>
  <si>
    <t>영풍콜택시(주)</t>
  </si>
  <si>
    <t>창운기업(주)</t>
  </si>
  <si>
    <t>한독교통(주)</t>
  </si>
  <si>
    <t>OK택시(주)</t>
  </si>
  <si>
    <t>서울32아4806</t>
  </si>
  <si>
    <t>삼흥교통 서울33아6580</t>
  </si>
  <si>
    <t>서울32아4736</t>
  </si>
  <si>
    <t>서울32사4662</t>
  </si>
  <si>
    <t>서울34아7221</t>
  </si>
  <si>
    <t>서울31사2071</t>
  </si>
  <si>
    <t>2011/04/28</t>
  </si>
  <si>
    <t>서울32사6529</t>
  </si>
  <si>
    <t>정우상운(주)</t>
  </si>
  <si>
    <t>서울31사6840</t>
  </si>
  <si>
    <t>2011/05/23</t>
  </si>
  <si>
    <t>예스택시</t>
  </si>
  <si>
    <t>우남교통</t>
  </si>
  <si>
    <t>경기45바4469</t>
  </si>
  <si>
    <t>교통비 지출의 건</t>
  </si>
  <si>
    <t>티머니택시</t>
  </si>
  <si>
    <t>덕성택시(주)</t>
  </si>
  <si>
    <t>광덕택시주식회사</t>
  </si>
  <si>
    <t>승진기업(주)</t>
  </si>
  <si>
    <t>일흥교통</t>
  </si>
  <si>
    <t>강동통상(주)</t>
  </si>
  <si>
    <t>전진교통(주)</t>
  </si>
  <si>
    <t>2011/10/24</t>
  </si>
  <si>
    <t>교통비</t>
    <phoneticPr fontId="3" type="noConversion"/>
  </si>
  <si>
    <t>2001년 1월분 정기분 등록면허세 지출의 건</t>
  </si>
  <si>
    <t>마포구청</t>
  </si>
  <si>
    <t>2011/03/18</t>
  </si>
  <si>
    <t>시설물분 환경개선부담금 지출의 건</t>
  </si>
  <si>
    <t>2011년 1기 예정 부가세 신고 및 납부의 건</t>
  </si>
  <si>
    <t>10319</t>
  </si>
  <si>
    <t>마포세무서</t>
  </si>
  <si>
    <t>2011/07/15</t>
  </si>
  <si>
    <t>2011년 7월(건축물분) 재산세 납부의 건</t>
  </si>
  <si>
    <t>주민세 재산분 신고 납부의 건</t>
  </si>
  <si>
    <t>2011년 1기 확정 부가세 신고 및 납부의 건</t>
  </si>
  <si>
    <t xml:space="preserve">주민세(법인균등분) 지출의 건
</t>
  </si>
  <si>
    <t>2011년 9월(토지분) 재산세 지출의 건</t>
  </si>
  <si>
    <t>2011/09/16</t>
  </si>
  <si>
    <t>2011년 교통유발부담금 지출</t>
  </si>
  <si>
    <t>2011년 2기 예정 부가세 신고 및 납부의 건</t>
  </si>
  <si>
    <t>2011년 2기 확정 부가세 납부</t>
  </si>
  <si>
    <t>세금과공과금</t>
    <phoneticPr fontId="3" type="noConversion"/>
  </si>
  <si>
    <t>2011/01/20</t>
  </si>
  <si>
    <t>재단 사옥 화재보험료 납부의 건</t>
  </si>
  <si>
    <t>10335</t>
  </si>
  <si>
    <t>현대해상화재보험</t>
  </si>
  <si>
    <t>2011/03/03</t>
  </si>
  <si>
    <t>보증보험 가입신청의 건</t>
  </si>
  <si>
    <t>10302</t>
  </si>
  <si>
    <t>서울보증보험주식회사</t>
  </si>
  <si>
    <t>2011/03/21</t>
  </si>
  <si>
    <t>2011/04/20</t>
  </si>
  <si>
    <t>2011/05/20</t>
  </si>
  <si>
    <t>2011/06/27</t>
  </si>
  <si>
    <t>2011/07/20</t>
  </si>
  <si>
    <t>2011/08/22</t>
  </si>
  <si>
    <t>2011/09/20</t>
  </si>
  <si>
    <t>2011/10/20</t>
  </si>
  <si>
    <t>2011/12/20</t>
  </si>
  <si>
    <t>화재보험료/현대해상화재보험</t>
  </si>
  <si>
    <t>90090</t>
  </si>
  <si>
    <t>보험료</t>
    <phoneticPr fontId="3" type="noConversion"/>
  </si>
  <si>
    <t>12월분 도시가스요금 지출의 건</t>
  </si>
  <si>
    <t>10158</t>
  </si>
  <si>
    <t>서울도시가스(주)</t>
  </si>
  <si>
    <t>109-81-31605</t>
  </si>
  <si>
    <t>1월분 상하수도요금 지출의 건</t>
  </si>
  <si>
    <t>서울시 서부수도사업소</t>
  </si>
  <si>
    <t>재단건물(공용) 전기요금 지출의 건</t>
  </si>
  <si>
    <t>한국전력공사</t>
  </si>
  <si>
    <t>1층 전기요금 지출의 건</t>
  </si>
  <si>
    <t>5층 전기요금 지출의 건</t>
  </si>
  <si>
    <t>쿠기인터내셔날 1월분 관리비(상하수도요금)</t>
  </si>
  <si>
    <t>10239</t>
  </si>
  <si>
    <t>주식회사 쿠기인터내셔날</t>
  </si>
  <si>
    <t>105-87-13835</t>
  </si>
  <si>
    <t>서서울텔레콤 1월분 관리비(상하수도요금)</t>
  </si>
  <si>
    <t>10157</t>
  </si>
  <si>
    <t>서서울텔레콤 주식회사</t>
  </si>
  <si>
    <t>110-81-48182</t>
  </si>
  <si>
    <t>2011/02/17</t>
  </si>
  <si>
    <t>1월분 도시가스요금 지출의 건-지하1층</t>
  </si>
  <si>
    <t>1월분 도시가스요금 지출의 건-1층</t>
  </si>
  <si>
    <t>1월분 도시가스요금 지출의 건-5층</t>
  </si>
  <si>
    <t>10277</t>
  </si>
  <si>
    <t>한국전력공사 서부지점</t>
  </si>
  <si>
    <t>105-82-03050</t>
  </si>
  <si>
    <t>3월분 도시가스요금 지출의 건-5층</t>
  </si>
  <si>
    <t>3월분 도시가스요금 지출의 건-지하1층</t>
  </si>
  <si>
    <t>3월분 상하수도요금 지출의 건</t>
  </si>
  <si>
    <t>2011/03/31</t>
  </si>
  <si>
    <t>쿠기인터내셔날 3월분 관리비(상하수도요금)</t>
  </si>
  <si>
    <t>10320</t>
  </si>
  <si>
    <t>서서울텔레콤 3월분 관리비(상하수도요금)</t>
  </si>
  <si>
    <t>2011/04/15</t>
  </si>
  <si>
    <t>4월분 도시가스요금 지출의 건-5층</t>
  </si>
  <si>
    <t>4월분 도시가스요금 지출의 건-지하1층</t>
  </si>
  <si>
    <t>5월분 도시가스요금 지출의 건-5층</t>
  </si>
  <si>
    <t>5월분 도시가스요금 지출의 건-지하1층</t>
  </si>
  <si>
    <t>2011/05/24</t>
  </si>
  <si>
    <t>5월분 상하수도요금 지출의 건</t>
  </si>
  <si>
    <t>쿠기인터내셔날 5월분 관리비(수도요금)</t>
  </si>
  <si>
    <t>서서울텔레콤 5월분 관리비(수도요금)</t>
  </si>
  <si>
    <t>2011/06/16</t>
  </si>
  <si>
    <t>6월분 도시가스요금 지출의 건-5층</t>
  </si>
  <si>
    <t>6월분 도시가스요금 지출의 건-지하1층</t>
  </si>
  <si>
    <t>7월분 도시가스요금 지출의 건-5층</t>
  </si>
  <si>
    <t>7월분 상하수도요금 지출의 건</t>
  </si>
  <si>
    <t>쿠기인터내셔날 7월분 관리비(수도광열비)</t>
  </si>
  <si>
    <t>우리가 만드는 미래 7월분 관리비(수도광열비)</t>
  </si>
  <si>
    <t>10529</t>
  </si>
  <si>
    <t>(주) 우리가 만드는 미래</t>
  </si>
  <si>
    <t>105-87-14815</t>
  </si>
  <si>
    <t>2011/08/01</t>
  </si>
  <si>
    <t>트랜스폴로지스틱스 7월분 관리비(상하수도료)</t>
  </si>
  <si>
    <t>10528</t>
  </si>
  <si>
    <t>주식회사 트랜스폴로지스틱스</t>
  </si>
  <si>
    <t>105-87-57885</t>
  </si>
  <si>
    <t>2011/08/24</t>
  </si>
  <si>
    <t>9월분 상하수도요금 지출의 건</t>
  </si>
  <si>
    <t>2011/09/30</t>
  </si>
  <si>
    <t>쿠기인터내셔날 9월분 관리비(상하수도요금)</t>
  </si>
  <si>
    <t>우리가 만드는 미래 9월분 관리비(상하수도요금)</t>
  </si>
  <si>
    <t>트랜스폴로지스틱스 9월분 관리비(상하수도요금)</t>
  </si>
  <si>
    <t>11월분 도시가스요금 지출의 건</t>
  </si>
  <si>
    <t>트랜스폴로지스틱스 11월분 관리비(상하수도요금)</t>
  </si>
  <si>
    <t>우리가 만드는 미래 11월분 관리비(상하수도요금)</t>
  </si>
  <si>
    <t>쿠기인터내셔날 11월분 관리비(상하수도요금)</t>
  </si>
  <si>
    <t>2011/12/13</t>
  </si>
  <si>
    <t>서울도시가스(주)-5층</t>
  </si>
  <si>
    <t>서울도시가스(주)-1층</t>
  </si>
  <si>
    <t>서울도시가스(주)-지하1층</t>
  </si>
  <si>
    <t>2011/12/22</t>
  </si>
  <si>
    <t>수도광열비</t>
    <phoneticPr fontId="3" type="noConversion"/>
  </si>
  <si>
    <t>인터넷전화 사용료 지출의 건-1월분</t>
  </si>
  <si>
    <t>(주)몬티스타텔레콤</t>
  </si>
  <si>
    <t>전자팩스 사용료 지출의 건</t>
  </si>
  <si>
    <t>10187</t>
  </si>
  <si>
    <t>엑스퍼다이트(주)</t>
  </si>
  <si>
    <t>120-81-64307</t>
  </si>
  <si>
    <t xml:space="preserve">kt전화 사용료 지출의 건
</t>
  </si>
  <si>
    <t>(주)케이티</t>
  </si>
  <si>
    <t>웹하드 사용료 지출의 건</t>
  </si>
  <si>
    <t>LG U+</t>
  </si>
  <si>
    <t>(계좌간이체) (돌봄) 2월분 인터넷 및 kt전화요금</t>
  </si>
  <si>
    <t>2월분 인터넷전화요금 지출의 건</t>
  </si>
  <si>
    <t>10443</t>
  </si>
  <si>
    <t>주식회사 케이티</t>
  </si>
  <si>
    <t>102-81-42945</t>
  </si>
  <si>
    <t>2011/02/22</t>
  </si>
  <si>
    <t>2월분 kt전화사용료 지출의 건</t>
  </si>
  <si>
    <t>케이티</t>
  </si>
  <si>
    <t>(계좌간이체) (돌봄) 2월분 인터넷전화요금</t>
  </si>
  <si>
    <t>(계좌간이체) (돌봄) 3월분 KT전화요금</t>
  </si>
  <si>
    <t>3월분 인터넷전화요금 지출의 건</t>
  </si>
  <si>
    <t>3월분 케이티전화요금 지출의 건</t>
  </si>
  <si>
    <t>(계좌간이체) (다문화직업창업출산) 4월분 웹하드 사용료</t>
  </si>
  <si>
    <t>(계좌간이체) (돌봄) 4월분 인터넷전화요금</t>
  </si>
  <si>
    <t>(계좌간이체) (돌봄) 4월분 KT전화요금</t>
  </si>
  <si>
    <t>4월분 인터넷전화요금 지출의 건</t>
  </si>
  <si>
    <t>4월분 케이티전화요금 지출의 건</t>
  </si>
  <si>
    <t>4월분 웹하드 사용료 지출의 건</t>
  </si>
  <si>
    <t>5월분 인터넷전화요금 지출의 건</t>
  </si>
  <si>
    <t>(계좌간이체) (돌봄) 5월분 인터넷전화요금</t>
  </si>
  <si>
    <t>(계좌간이체) (돌봄) 5월분 KT전화요금</t>
  </si>
  <si>
    <t>5월분 케이티전화요금 지출의 건</t>
  </si>
  <si>
    <t>2011/05/27</t>
  </si>
  <si>
    <t>(계좌간이체) (돌봄) 5월분 웹하드사용료</t>
  </si>
  <si>
    <t>인터넷전화요금</t>
  </si>
  <si>
    <t>90055</t>
  </si>
  <si>
    <t>농협운영비</t>
  </si>
  <si>
    <t>(계좌간이체) (아모레시설개선사업) 6월분 KT전화요금</t>
  </si>
  <si>
    <t>(계좌간이체) (아모레시설개선사업) 6월분 웹하드사용료</t>
  </si>
  <si>
    <t>(계좌간이체) (11아모레시설개선) 6월분 인터넷전화요금</t>
  </si>
  <si>
    <t>6월분 케이티전화요금 지출의 건</t>
  </si>
  <si>
    <t>(계좌간이체) (11신생아케어서비스) 7월분 KT전화요금</t>
  </si>
  <si>
    <t>(계좌간이체) (11신생아케어서비스) 7월분 웹하드사용료</t>
  </si>
  <si>
    <t>인터넷 전화 사용료 지출의 건</t>
  </si>
  <si>
    <t>몬티스타텔레콤</t>
  </si>
  <si>
    <t>2011/07/21</t>
  </si>
  <si>
    <t>(계좌간이체) (11신생아케어서비스) 7월분 인터넷전화사용료</t>
  </si>
  <si>
    <t>7월분 KT전화요금 지출의 건</t>
  </si>
  <si>
    <t>2011/08/17</t>
  </si>
  <si>
    <t>(계좌간이체) (11신생아케어서비스) 8월분 웹하드사용료</t>
  </si>
  <si>
    <t>(계좌간이체) (11날자) 8월분 KT전화요금</t>
  </si>
  <si>
    <t>인터넷전화 사용료 지출의 건</t>
  </si>
  <si>
    <t>8월분 KT전화요금 지출의 건</t>
  </si>
  <si>
    <t>2011/08/29</t>
  </si>
  <si>
    <t>2011/09/26</t>
  </si>
  <si>
    <t>9월분 KT전화요금 지출의 건</t>
  </si>
  <si>
    <t>2011/09/27</t>
  </si>
  <si>
    <t xml:space="preserve">웹하드 사용료 지출의 건
</t>
  </si>
  <si>
    <t>(계좌간이체) (11날자) 9월분 KT전화요금</t>
  </si>
  <si>
    <t>(계좌간이체) (BB희망날개) 10월분 KT전화요금</t>
  </si>
  <si>
    <t>2011년 10월 인터넷전화 사용료 지출의 건</t>
  </si>
  <si>
    <t>10월분 케이티요금 지출</t>
  </si>
  <si>
    <t>2011/10/27</t>
  </si>
  <si>
    <t>(계좌간이체) (BB희망날개) 11월분 KT전화요금</t>
  </si>
  <si>
    <t>2011년 11월 인터넷전화 사용료 지출의 건</t>
  </si>
  <si>
    <t>2011년 11월 kt전화 사용료 지출의 건</t>
  </si>
  <si>
    <t>2011/11/28</t>
  </si>
  <si>
    <t>2011년 12 인터넷전화 사용료 지출의 건</t>
  </si>
  <si>
    <t>2011년 12월 kt전화 사용료 지출의 건</t>
  </si>
  <si>
    <t>10366</t>
  </si>
  <si>
    <t>2011/12/27</t>
  </si>
  <si>
    <t>통신비</t>
    <phoneticPr fontId="3" type="noConversion"/>
  </si>
  <si>
    <t>운반비 정산의 건</t>
  </si>
  <si>
    <t>10444</t>
  </si>
  <si>
    <t>태평양종합상조</t>
  </si>
  <si>
    <t>212-81-75990</t>
  </si>
  <si>
    <t>퀵짱서비스</t>
  </si>
  <si>
    <t>인터넷전화 헤드셋 구입비 정산의 건</t>
  </si>
  <si>
    <t>신한로직스</t>
  </si>
  <si>
    <t>우편발송비 지출의 건</t>
  </si>
  <si>
    <t>10299</t>
  </si>
  <si>
    <t>서울성산동 우체국</t>
  </si>
  <si>
    <t>101-83-02925</t>
  </si>
  <si>
    <t>발송비 정산의 건</t>
  </si>
  <si>
    <t>우체국</t>
  </si>
  <si>
    <t>근조기발송비 정산의 건</t>
  </si>
  <si>
    <t>우편물 발송비 지출의 건</t>
  </si>
  <si>
    <t>명함배송비 정산의 건</t>
  </si>
  <si>
    <t>옐로우캡</t>
  </si>
  <si>
    <t>내부회계감사보고서 발송</t>
  </si>
  <si>
    <t>글로벌네트웍스</t>
  </si>
  <si>
    <t>대명 퀵서비스</t>
  </si>
  <si>
    <t>퀵오케이서비스</t>
  </si>
  <si>
    <t>퀵울림서비스</t>
  </si>
  <si>
    <t>운송료 정산의 건</t>
  </si>
  <si>
    <t>스페이스퀵</t>
  </si>
  <si>
    <t>여성재단 이사 취임서류 발송비</t>
  </si>
  <si>
    <t>퀵뉴스서비스</t>
  </si>
  <si>
    <t>정관개정관련 서류 퀵 발송</t>
  </si>
  <si>
    <t>하이퀵서비스</t>
  </si>
  <si>
    <t>2011/03/11</t>
  </si>
  <si>
    <t>운송비 정산의 건</t>
  </si>
  <si>
    <t>퀵짱</t>
  </si>
  <si>
    <t>2011/03/16</t>
  </si>
  <si>
    <t>우편물 퀵서비스 발송비 지출의 건</t>
  </si>
  <si>
    <t>라인퀵</t>
  </si>
  <si>
    <t>명함운송비 정산의 건</t>
  </si>
  <si>
    <t>파랑새 퀵</t>
  </si>
  <si>
    <t>2011/03/24</t>
  </si>
  <si>
    <t>우편발송비 정산의 건</t>
  </si>
  <si>
    <t>서울성산동우체국</t>
  </si>
  <si>
    <t>2011/04/29</t>
  </si>
  <si>
    <t>명함 운송비 정산의 건</t>
  </si>
  <si>
    <t>2011/05/09</t>
  </si>
  <si>
    <t>축전발송비 정산의 건</t>
  </si>
  <si>
    <t>근조카드발송비 정산의 건</t>
  </si>
  <si>
    <t>2011/06/03</t>
  </si>
  <si>
    <t>2011/06/15</t>
  </si>
  <si>
    <t xml:space="preserve">비추미여성대상(특별상)추천 서류 발송비 지출의건 </t>
  </si>
  <si>
    <t>업무자료 퀵서비스비 지출의 건</t>
  </si>
  <si>
    <t>허리케인</t>
  </si>
  <si>
    <t>2011/07/12</t>
  </si>
  <si>
    <t>직원명함 운송비 정산의 건</t>
  </si>
  <si>
    <t>직원명함 운송비 지출의 건</t>
  </si>
  <si>
    <t>콜택시콜밴</t>
  </si>
  <si>
    <t>축전발송비 지출의 건</t>
  </si>
  <si>
    <t>2011/09/09</t>
  </si>
  <si>
    <t>우리퀵서비스</t>
  </si>
  <si>
    <t>2011/09/28</t>
  </si>
  <si>
    <t>업무관련 등기우편 발송의 건</t>
  </si>
  <si>
    <t>근조기발송비 지출의 건</t>
  </si>
  <si>
    <t>직원명함 발송비 지출의 건</t>
  </si>
  <si>
    <t>서류 발송비 지출의건</t>
  </si>
  <si>
    <t>슈퍼맨퀵서비스</t>
  </si>
  <si>
    <t>2011/12/05</t>
  </si>
  <si>
    <t>서류 운송비 지출의 건</t>
  </si>
  <si>
    <t>슈퍼맨 퀵서비스</t>
  </si>
  <si>
    <t>임원 연임 관련 서류 운송비 지출의 건</t>
  </si>
  <si>
    <t>에이플러스퀵</t>
  </si>
  <si>
    <t>등기우편 반송료 지출의 건</t>
  </si>
  <si>
    <t>서울마포우체국</t>
  </si>
  <si>
    <r>
      <t>운</t>
    </r>
    <r>
      <rPr>
        <sz val="11"/>
        <color theme="1"/>
        <rFont val="맑은 고딕"/>
        <family val="3"/>
        <charset val="129"/>
      </rPr>
      <t>·</t>
    </r>
    <r>
      <rPr>
        <sz val="11"/>
        <color theme="1"/>
        <rFont val="맑은 고딕"/>
        <family val="2"/>
        <charset val="129"/>
        <scheme val="minor"/>
      </rPr>
      <t>발송비</t>
    </r>
    <phoneticPr fontId="3" type="noConversion"/>
  </si>
  <si>
    <t>2011/01/06</t>
  </si>
  <si>
    <t>CMS입금-12/6자</t>
  </si>
  <si>
    <t>90026</t>
  </si>
  <si>
    <t>농협CMS기부</t>
  </si>
  <si>
    <t>2011/01/10</t>
  </si>
  <si>
    <t>kcp 신용카드 수수료</t>
  </si>
  <si>
    <t>90016</t>
  </si>
  <si>
    <t>국민기부금</t>
  </si>
  <si>
    <t>kcp 신용카드 입금</t>
  </si>
  <si>
    <t>1월분 웅진코웨이 정수기 렌탈비 지출의 건</t>
  </si>
  <si>
    <t>10429</t>
  </si>
  <si>
    <t>웅진코웨이(주)</t>
  </si>
  <si>
    <t>307-81-06054</t>
  </si>
  <si>
    <t>2011/01/14</t>
  </si>
  <si>
    <t>CMS입금-1/14자</t>
  </si>
  <si>
    <t>2011/01/17</t>
  </si>
  <si>
    <t xml:space="preserve">예금잔액증명서 발급 수수료 </t>
  </si>
  <si>
    <t xml:space="preserve">금융결제원 cms정보이용료 지출의 건
</t>
  </si>
  <si>
    <t>10323</t>
  </si>
  <si>
    <t>사단법인 금융결제원</t>
  </si>
  <si>
    <t>129-82-08745</t>
  </si>
  <si>
    <t>CMS입금-1/18자</t>
  </si>
  <si>
    <t>인감븡명서 15부, 등기부등본 10부 발급수수료</t>
  </si>
  <si>
    <t>북부등기소</t>
  </si>
  <si>
    <t>회계감사용 통장 잔액증명서 발급수수료</t>
  </si>
  <si>
    <t>기업은행</t>
  </si>
  <si>
    <t>재단건물 캡스(보안경비)용역비</t>
  </si>
  <si>
    <t>10051</t>
  </si>
  <si>
    <t>(주)에이디티캡스서부</t>
  </si>
  <si>
    <t>110-85-06588</t>
  </si>
  <si>
    <t>캐쉬sos사업 cms수수료-1/5일분</t>
  </si>
  <si>
    <t>케이씨피-신용카드</t>
  </si>
  <si>
    <t>CMS입금</t>
  </si>
  <si>
    <t>1월25일자 캐쉬cms수수료 이체</t>
  </si>
  <si>
    <t>쿠기인터내셔날 1월분 관리비(무인경비)</t>
  </si>
  <si>
    <t>서서울텔레콤 1월분 관리비(무인경비)</t>
  </si>
  <si>
    <t>지로후원금-무명</t>
  </si>
  <si>
    <t>90027</t>
  </si>
  <si>
    <t>농협지로기부</t>
  </si>
  <si>
    <t>재단건물 1층 사용이 가능한 캡스카드 2개 발급</t>
  </si>
  <si>
    <t>2011/02/07</t>
  </si>
  <si>
    <t>지로후원금-이경순</t>
  </si>
  <si>
    <t>보육사업 제일은행통장 잔액증명서 발급</t>
  </si>
  <si>
    <t>회계감사관련 토지, 건물 등기부등본 발급수수료</t>
  </si>
  <si>
    <t>2011/02/11</t>
  </si>
  <si>
    <t>은행조회서 발급수수료 지출의 건</t>
  </si>
  <si>
    <t>국민은행 서교동지점</t>
  </si>
  <si>
    <t>우리은행 서교동지점</t>
  </si>
  <si>
    <t>제일은행 제일지점</t>
  </si>
  <si>
    <t>캐쉬sos cms 수수료 이체</t>
  </si>
  <si>
    <t>외환은행 홍대역지점</t>
  </si>
  <si>
    <t>전자세금계산서용 공인인증서 기간만료로 인한 재발급수수료</t>
  </si>
  <si>
    <t>하나은행 홍대입구지점</t>
  </si>
  <si>
    <t>다날-핸드폰후원</t>
  </si>
  <si>
    <t>다날</t>
  </si>
  <si>
    <t>2011/03/02</t>
  </si>
  <si>
    <t>쿠기인터내셔날 2월분 관리비(무인경비)</t>
  </si>
  <si>
    <t>서서울텔레콤 2월분 관리비(무인경비)</t>
  </si>
  <si>
    <t>지로후원-이경순</t>
  </si>
  <si>
    <t>2011/03/10</t>
  </si>
  <si>
    <t>등기부등본 발급수수료 정산의 건</t>
  </si>
  <si>
    <t>대법원 인터넷등기소</t>
  </si>
  <si>
    <t>3월분 웅진코웨이 정수기 렌탈비 지출의 건</t>
  </si>
  <si>
    <t>(계좌간이체)캐쉬SOS 상환CMS 수수료</t>
  </si>
  <si>
    <t>2011/03/15</t>
  </si>
  <si>
    <t>증소기업은행 홍대역지점</t>
  </si>
  <si>
    <t>재단 등기변경수수료 정산의 건</t>
  </si>
  <si>
    <t>10143</t>
  </si>
  <si>
    <t>법무사방흥용사무소</t>
  </si>
  <si>
    <t>229-01-54346</t>
  </si>
  <si>
    <t>계좌이체 송금수수료 정산의 건</t>
  </si>
  <si>
    <t>케이씨피-신용카드-권숙진</t>
  </si>
  <si>
    <t>인감증명서 및 등기부등본 발급수수료 정산의 건</t>
  </si>
  <si>
    <t>쿠기인터내셔날 3월분 관리비(무인경비)</t>
  </si>
  <si>
    <t>서서울텔레콤 3월분 관리비(무인경비)</t>
  </si>
  <si>
    <t>90019</t>
  </si>
  <si>
    <t>하나개인기부자</t>
  </si>
  <si>
    <t>케이씨피-신용카드-윤정희</t>
  </si>
  <si>
    <t>2011/04/11</t>
  </si>
  <si>
    <t>4월분 웅진코웨이 정수기 렌탈비 지출의 건</t>
  </si>
  <si>
    <t>농협 인증서 갱신 수수료</t>
  </si>
  <si>
    <t>10100</t>
  </si>
  <si>
    <t>농협중앙회</t>
  </si>
  <si>
    <t>104-82-07072</t>
  </si>
  <si>
    <t>2011/04/19</t>
  </si>
  <si>
    <t>외부감사 수수료 및 인쇄비의 건</t>
  </si>
  <si>
    <t>10212</t>
  </si>
  <si>
    <t>(유)이정회계법인</t>
  </si>
  <si>
    <t>211-87-02818</t>
  </si>
  <si>
    <t>은행송금수수료 정산의 건</t>
  </si>
  <si>
    <t>케이씨피-신용카드 수수료</t>
  </si>
  <si>
    <t>2011/04/26</t>
  </si>
  <si>
    <t>서서울텔레콤 4월분 관리비(무인경비)</t>
  </si>
  <si>
    <t>2011/05/02</t>
  </si>
  <si>
    <t>쿠기인터내셔날 4월분 관리비(무인경비)</t>
  </si>
  <si>
    <t>2011/05/03</t>
  </si>
  <si>
    <t>지로후원-최병옥</t>
  </si>
  <si>
    <t>재단 등기부등본 발급수수료 정산의 건</t>
  </si>
  <si>
    <t>인터넷등기소 대법원</t>
  </si>
  <si>
    <t>공인인증서 갱신수수료 정산의 건</t>
  </si>
  <si>
    <t>지로후원-최낙주</t>
  </si>
  <si>
    <t>5월분 웅진코웨이 정수기 렌탈비 지출의 건</t>
  </si>
  <si>
    <t>2011/05/12</t>
  </si>
  <si>
    <t>2011/05/19</t>
  </si>
  <si>
    <t>계좌거래내역서 수수료 정산의 건</t>
  </si>
  <si>
    <t>류경열</t>
  </si>
  <si>
    <t>인감증명서 및 등기부등본 발급수수료 지출의 건</t>
  </si>
  <si>
    <t>서울서부지방법원 서대문등기소</t>
  </si>
  <si>
    <t>부동산 임대 중개수수료</t>
  </si>
  <si>
    <t>다우공인중개사사무소</t>
  </si>
  <si>
    <t>은행이체 수수료 지출의 건</t>
  </si>
  <si>
    <t>씨티은행 서교동지점</t>
  </si>
  <si>
    <t>은행이체 및 통장발급 수수료 지출의 건</t>
  </si>
  <si>
    <t>쿠기인터내셔날 5월분 관리비(무인경비)</t>
  </si>
  <si>
    <t>서서울텔레콤 5월분 관리비(무인경비)</t>
  </si>
  <si>
    <t>2011/06/01</t>
  </si>
  <si>
    <t>케이씨피-신용카드-정일용</t>
  </si>
  <si>
    <t>2011/06/09</t>
  </si>
  <si>
    <t>2011/06/10</t>
  </si>
  <si>
    <t>6월분 웅진코웨이 정수기 렌탈비 지출의 건</t>
  </si>
  <si>
    <t>2011/06/14</t>
  </si>
  <si>
    <t>국민릴레이 이체</t>
  </si>
  <si>
    <t>90010</t>
  </si>
  <si>
    <t>농협릴레이기부</t>
  </si>
  <si>
    <t>우리개인기부자 이체</t>
  </si>
  <si>
    <t>우리릴레이 이체</t>
  </si>
  <si>
    <t>90134</t>
  </si>
  <si>
    <t>씨티기부금(통합)</t>
  </si>
  <si>
    <t>냉온수기 소독비 지출의 건</t>
  </si>
  <si>
    <t>2011/06/23</t>
  </si>
  <si>
    <t>케이씨피-신용카드-김경희</t>
  </si>
  <si>
    <t>쿠기인터내셔날 6월분 관리비(무인경비)</t>
  </si>
  <si>
    <t>우리가 만드는 미래 6월분 관리비(무인경비)</t>
  </si>
  <si>
    <t>등기부등본 발급비 지출의 건</t>
  </si>
  <si>
    <t>2011/07/05</t>
  </si>
  <si>
    <t>트랜스폴로지스틱스 6월분 관리비(무인경비)</t>
  </si>
  <si>
    <t>2011/07/06</t>
  </si>
  <si>
    <t>보통예금 이체(국민릴레이-씨티개인기부금)</t>
  </si>
  <si>
    <t>씨티개인기부금(통합)</t>
  </si>
  <si>
    <t>보통예금 이체(신한릴레이기부-씨티개인기부금)</t>
  </si>
  <si>
    <t>2011/07/08</t>
  </si>
  <si>
    <t>7월분 웅진코웨이 정수기 렌탈비 지출의 건</t>
  </si>
  <si>
    <t>재단 업무표장등록 수수료 지출관련의 건</t>
  </si>
  <si>
    <t>10545</t>
  </si>
  <si>
    <t>법무법인 케이씨엘</t>
  </si>
  <si>
    <t>102-81-34260</t>
  </si>
  <si>
    <t>재단 인감증명서 및 등기부등본 발급수수료 지출의 건</t>
  </si>
  <si>
    <t>서울서부지방법원</t>
  </si>
  <si>
    <t>보통예금 이체(하나개인기부자-농협운영비)</t>
  </si>
  <si>
    <t>쿠기인터내셔날 7월분 관리비(무인경비)</t>
  </si>
  <si>
    <t>우리가 만드는 미래 7월분 관리비(무인경비)</t>
  </si>
  <si>
    <t>보통예금 이체(우리릴레이-씨티개인기부금)</t>
  </si>
  <si>
    <t>보통예금 이체(우리개인기부-씨티개인기부금)</t>
  </si>
  <si>
    <t>보통예금 이체(하나개인기부-씨티개인기부금)</t>
  </si>
  <si>
    <t>트랜스폴로지스틱스 7월분 관리비(무인경비)</t>
  </si>
  <si>
    <t>2011/08/02</t>
  </si>
  <si>
    <t>2011/08/08</t>
  </si>
  <si>
    <t>케이씨피-신용카드-유지영</t>
  </si>
  <si>
    <t>2011/08/10</t>
  </si>
  <si>
    <t>8월분 웅진코웨이 정수기 렌탈비 지출의 건</t>
  </si>
  <si>
    <t>지로후원-홍근표</t>
  </si>
  <si>
    <t>2011/08/11</t>
  </si>
  <si>
    <t>2011/08/16</t>
  </si>
  <si>
    <t>2011/08/18</t>
  </si>
  <si>
    <t>2011/08/23</t>
  </si>
  <si>
    <t>케이씨피-신용카드-이상흔</t>
  </si>
  <si>
    <t>지로후원-무명</t>
  </si>
  <si>
    <t>2011/08/30</t>
  </si>
  <si>
    <t>지로후원-최학연</t>
  </si>
  <si>
    <t>2011/08/31</t>
  </si>
  <si>
    <t>은행송금수수료 지출의 건</t>
  </si>
  <si>
    <t>쿠기인터내셔날 8월분 관리비(무인경비)</t>
  </si>
  <si>
    <t>우리가 만드는 미래 8월분 관리비(무인경비)</t>
  </si>
  <si>
    <t>트랜스폴로지스틱스 8월분 관리비(무인경비)</t>
  </si>
  <si>
    <t>2011/09/02</t>
  </si>
  <si>
    <t>공인인증서 갱신비용 지출의 건</t>
  </si>
  <si>
    <t>9월분 웅진코웨이 정수기 렌탈비 지출의 건</t>
  </si>
  <si>
    <t>쿠기인터내셔날 9월분 관리비(무인경비)</t>
  </si>
  <si>
    <t>우리가 만드는 미래 9월분 관리비(무인경비)</t>
  </si>
  <si>
    <t>트랜스폴로지스틱스 9월분 관리비(무인경비)</t>
  </si>
  <si>
    <t>2011/10/04</t>
  </si>
  <si>
    <t>2011/10/06</t>
  </si>
  <si>
    <t>2011/10/07</t>
  </si>
  <si>
    <t>은행잔액증명서 발급수수료 지출의 건</t>
  </si>
  <si>
    <t>2011/10/21</t>
  </si>
  <si>
    <t>케이씨피-신용카드-이현혜</t>
  </si>
  <si>
    <t>2011/10/26</t>
  </si>
  <si>
    <t>쿠기인터내셔날 10월분 관리비(무인경비)</t>
  </si>
  <si>
    <t>트랜스폴로지스틱스 10월분 관리비(무인경비)</t>
  </si>
  <si>
    <t>우리가 만드는 미래 10월분 관리비(무인경비)</t>
  </si>
  <si>
    <t>2011/11/08</t>
  </si>
  <si>
    <t>케이씨피-신용카드-김제희</t>
  </si>
  <si>
    <t>국민개인기부</t>
  </si>
  <si>
    <t>2011/11/10</t>
  </si>
  <si>
    <t>계좌간이체-기부금이체</t>
  </si>
  <si>
    <t>90013</t>
  </si>
  <si>
    <t>우리릴레이기부</t>
  </si>
  <si>
    <t>90018</t>
  </si>
  <si>
    <t>우리개인기부</t>
  </si>
  <si>
    <t>90014</t>
  </si>
  <si>
    <t>국민릴레이기부</t>
  </si>
  <si>
    <t>10월분 웅진코웨이 정수기 렌탈비 지출의 건</t>
  </si>
  <si>
    <t>2011/11/11</t>
  </si>
  <si>
    <t>케이씨피-신용카드-박소영</t>
  </si>
  <si>
    <t>2011/11/16</t>
  </si>
  <si>
    <t>2011/11/18</t>
  </si>
  <si>
    <t>등기부등본 발급수수료 지출의 건</t>
  </si>
  <si>
    <t>2011/11/22</t>
  </si>
  <si>
    <t>등기부등본,인감증명서 발급수수료 지출의 건</t>
  </si>
  <si>
    <t>서부지방법원 등기과</t>
  </si>
  <si>
    <t>서교동 주민센타</t>
  </si>
  <si>
    <t>계좌간이체-이자</t>
  </si>
  <si>
    <t>90035</t>
  </si>
  <si>
    <t>우체국-우정사업다문화</t>
  </si>
  <si>
    <t>11다문화안전망 단체 사업이자 반납금-생명의향기 이체수수료</t>
  </si>
  <si>
    <t>10455</t>
  </si>
  <si>
    <t>90029</t>
  </si>
  <si>
    <t>국민CJ기부</t>
  </si>
  <si>
    <t>90028</t>
  </si>
  <si>
    <t>국민만만클럽/(국민YK기부)</t>
  </si>
  <si>
    <t>트랜스폴로지스틱스 11월분 관리비(무인경비)</t>
  </si>
  <si>
    <t>우리가 만드는 미래 11월분 관리비(무인경비)</t>
  </si>
  <si>
    <t>쿠기인터내셔날 11월분 관리비(무인경비)</t>
  </si>
  <si>
    <t>2011/12/06</t>
  </si>
  <si>
    <t>지로후원-조호성</t>
  </si>
  <si>
    <t>2011/12/08</t>
  </si>
  <si>
    <t>케이씨피-신용카드-정일용 외</t>
  </si>
  <si>
    <t>12월분 웅진코웨이 정수기 렌탈비 지출의 건</t>
  </si>
  <si>
    <t>2011/12/15</t>
  </si>
  <si>
    <t>케이씨피-신용카드-서은경</t>
  </si>
  <si>
    <t>케이씨피-신용카드-이상흔 외</t>
  </si>
  <si>
    <t>농협 지로 수수료</t>
  </si>
  <si>
    <t>우리가 만드는 미래 12월분 관리비(무인경비)</t>
  </si>
  <si>
    <t>쿠기인터내셔날 12월분 관리비(무인경비)</t>
  </si>
  <si>
    <t>수수료비용</t>
    <phoneticPr fontId="3" type="noConversion"/>
  </si>
  <si>
    <t>신문구독료 지급의 건-1월분</t>
  </si>
  <si>
    <t>한겨레 서교지국</t>
  </si>
  <si>
    <t>경향신문</t>
  </si>
  <si>
    <t>직원명함 발급비 정산의 건</t>
  </si>
  <si>
    <t>10163</t>
  </si>
  <si>
    <t>성원토탈프린팅</t>
  </si>
  <si>
    <t>201-19-73597</t>
  </si>
  <si>
    <t>명함대금 지급의 건</t>
  </si>
  <si>
    <t>신문구독료 지급의 건-2월분</t>
  </si>
  <si>
    <t>명함대금 정산의 건</t>
  </si>
  <si>
    <t>신문구독료 지급의 건-3월분</t>
  </si>
  <si>
    <t>직원 명함제작비 지출의 건</t>
  </si>
  <si>
    <t>감사보고서, 세무조정명세서50부 인쇄비</t>
  </si>
  <si>
    <t>신문구독료 지급의 건-4월분</t>
  </si>
  <si>
    <t>신문구독료 지급의 건-5월분</t>
  </si>
  <si>
    <t>신문구독료 지급의 건-6월분</t>
  </si>
  <si>
    <t>2010년 감사보고서, 세무조정명세서 인쇄비 부가세 지출의 건</t>
  </si>
  <si>
    <t>직원명함 제작비 정산의 건</t>
  </si>
  <si>
    <t>비추미여성대상(특별상) 관련서류 제본비 지출의건</t>
  </si>
  <si>
    <t>신성교역</t>
  </si>
  <si>
    <t>신문구독료 지급의 건-7월분</t>
  </si>
  <si>
    <t>직원명함 제작비 지출의 건</t>
  </si>
  <si>
    <t>신문구독료 지급의 건-8월분</t>
  </si>
  <si>
    <t>신문구독료 지급의 건-9월분</t>
  </si>
  <si>
    <t>10038</t>
  </si>
  <si>
    <t>(주)성원애드피아</t>
  </si>
  <si>
    <t>201-81-86819</t>
  </si>
  <si>
    <t>2011/11/07</t>
  </si>
  <si>
    <t>신문구독료 지급의 건-10월분</t>
  </si>
  <si>
    <t>신문구독료 지급의 건-11월분</t>
  </si>
  <si>
    <t>신문구독료 지급의 건-12월분</t>
  </si>
  <si>
    <t>도서인쇄비</t>
    <phoneticPr fontId="3" type="noConversion"/>
  </si>
  <si>
    <t>이베이지마켓</t>
  </si>
  <si>
    <t>프린터토너 외 사무용품 구입비 정산의 건</t>
  </si>
  <si>
    <t>10171</t>
  </si>
  <si>
    <t>신도OA</t>
  </si>
  <si>
    <t>106-06-25937</t>
  </si>
  <si>
    <t>오피스마트</t>
  </si>
  <si>
    <t>사무용품 구입비 정산의 건</t>
  </si>
  <si>
    <t>사무용품구입 정산의 건</t>
  </si>
  <si>
    <t>10198</t>
  </si>
  <si>
    <t>105-12-34735</t>
  </si>
  <si>
    <t>복사기 유지 보수 및 네트워크 프린터 랜탈 비용 지급의 건</t>
  </si>
  <si>
    <t>총무팀 금고구입 정산의 건</t>
  </si>
  <si>
    <t>이베이지마켓(중림통상)</t>
  </si>
  <si>
    <t>큐브릿지</t>
  </si>
  <si>
    <t>라벨터치 라벨테이프 구입의 건</t>
  </si>
  <si>
    <t>11번가</t>
  </si>
  <si>
    <t>복사기 유지 보수 및 네트워크 프린터 랜탈 비용 지급의 건
복사기 유지</t>
  </si>
  <si>
    <t>실습자료집 제본비 지출의 건</t>
  </si>
  <si>
    <t>재단 목도장구입비 지출의 건</t>
  </si>
  <si>
    <t>문구 구입비 지출</t>
  </si>
  <si>
    <t>사무용품비</t>
    <phoneticPr fontId="3" type="noConversion"/>
  </si>
  <si>
    <t>컴퓨터수리비 정산의 건</t>
  </si>
  <si>
    <t>에스엠플러스</t>
  </si>
  <si>
    <t>1층 사무실열쇠 수리비 정산의 건</t>
  </si>
  <si>
    <t>믿음열쇠</t>
  </si>
  <si>
    <t>수선비</t>
    <phoneticPr fontId="3" type="noConversion"/>
  </si>
  <si>
    <t>회의실 에어컨 리모콘 구입의 건</t>
  </si>
  <si>
    <t>기타경상비</t>
    <phoneticPr fontId="3" type="noConversion"/>
  </si>
  <si>
    <t>2010년 재단건물 소방점검수수료 정산의 건</t>
  </si>
  <si>
    <t>10089</t>
  </si>
  <si>
    <t>경원소방주식회사</t>
  </si>
  <si>
    <t>105-86-82015</t>
  </si>
  <si>
    <t>재단 사옥 전기안전관리 대행비용 지급의 건</t>
  </si>
  <si>
    <t>10211</t>
  </si>
  <si>
    <t>이엠전기안전(주)</t>
  </si>
  <si>
    <t>109-86-17103</t>
  </si>
  <si>
    <t>공기청정기 렌탈비용 지출의 건</t>
  </si>
  <si>
    <t>10222</t>
  </si>
  <si>
    <t>제이앤에이치</t>
  </si>
  <si>
    <t>214-08-53738</t>
  </si>
  <si>
    <t>사무처 청소비 지급 건-1월분</t>
  </si>
  <si>
    <t>10301</t>
  </si>
  <si>
    <t>김납순</t>
  </si>
  <si>
    <t>000-00-00000</t>
  </si>
  <si>
    <t xml:space="preserve">건물 쓰레기봉투 구입의 건
</t>
  </si>
  <si>
    <t>전원슈퍼</t>
  </si>
  <si>
    <t>엘리베이터 정기점검과 유지보수비 지출</t>
  </si>
  <si>
    <t>10197</t>
  </si>
  <si>
    <t>오티스엘리베이터유한회사 강북</t>
  </si>
  <si>
    <t>104-85-08709</t>
  </si>
  <si>
    <t>건물 1층 유리현관문 교체관련의 건</t>
  </si>
  <si>
    <t>10451</t>
  </si>
  <si>
    <t>진원종합상사</t>
  </si>
  <si>
    <t>105-04-45519</t>
  </si>
  <si>
    <t>사무처 청소비 지급 건-2월분</t>
  </si>
  <si>
    <t>1층 캡스지문인식장치 수리비 정산의 건</t>
  </si>
  <si>
    <t>사무처 청소비 지급 건-3월분</t>
  </si>
  <si>
    <t>사무처 청소비 지급 건-4월분</t>
  </si>
  <si>
    <t>건물 누수공사 및 화장실 수리공사대금 정산의 건</t>
  </si>
  <si>
    <t>10284</t>
  </si>
  <si>
    <t>형제설비</t>
  </si>
  <si>
    <t>117-02-12642</t>
  </si>
  <si>
    <t>인터넷 공유기 교체 및 키폰셋팅 비용정산의 건</t>
  </si>
  <si>
    <t>10263</t>
  </si>
  <si>
    <t>폰코리아물산</t>
  </si>
  <si>
    <t>111-09-80398</t>
  </si>
  <si>
    <t>건물 누전차단기 수리비 정산의 건</t>
  </si>
  <si>
    <t>현대전업사</t>
  </si>
  <si>
    <t>교육장 출입카드 발급수수료 정산의 건</t>
  </si>
  <si>
    <t>재단 옥상녹화경비 정산의 건</t>
  </si>
  <si>
    <t>10525</t>
  </si>
  <si>
    <t>(사)여성이만드는일과미래</t>
  </si>
  <si>
    <t>107-82-10163</t>
  </si>
  <si>
    <t>2,3층 청소비 지급의 건</t>
  </si>
  <si>
    <t>재단건물 정화조청소비 정산의 건</t>
  </si>
  <si>
    <t>10132</t>
  </si>
  <si>
    <t>마포환경산업(주)</t>
  </si>
  <si>
    <t>105-81-79795</t>
  </si>
  <si>
    <t>사무처 청소비 지급 건-5월분</t>
  </si>
  <si>
    <t>3층 바닥 타일공사 비용 지출의 건</t>
  </si>
  <si>
    <t>10533</t>
  </si>
  <si>
    <t>현대인테리어</t>
  </si>
  <si>
    <t>128-27-41801</t>
  </si>
  <si>
    <t>2층 램프교체 및 싱크대수리대금 지출의건</t>
  </si>
  <si>
    <t>10539</t>
  </si>
  <si>
    <t>예성건축</t>
  </si>
  <si>
    <t>120-10-08076</t>
  </si>
  <si>
    <t>사무처 청소비 지급 건-6월분</t>
  </si>
  <si>
    <t>재단1층 무선인터넷 설치비 정산의 건</t>
  </si>
  <si>
    <t>2011/07/13</t>
  </si>
  <si>
    <t>재단 전화선 및 인터넷선 공사비 지출의 건</t>
  </si>
  <si>
    <t>계단 복도내 페인트,2층 화장실 천정, 2층 외부실리콘 공사 지출의 건</t>
  </si>
  <si>
    <t>사무처 청소비 지급 건- 7월분</t>
  </si>
  <si>
    <t>건물 1층 남,여화장실 도어락 설치비 지출의 건</t>
  </si>
  <si>
    <t>10553</t>
  </si>
  <si>
    <t>삼원열쇠</t>
  </si>
  <si>
    <t>105-05-27177</t>
  </si>
  <si>
    <t>사무처 청소비 지급 건- 8월분</t>
  </si>
  <si>
    <t>건물 1층 남,여화장실 방충망 설치비 지출의 건</t>
  </si>
  <si>
    <t>재단건물 가스안전정기검사 신청비 지출의 건</t>
  </si>
  <si>
    <t>10273</t>
  </si>
  <si>
    <t>한국가스안전공사</t>
  </si>
  <si>
    <t>110-82-07121</t>
  </si>
  <si>
    <t>거주자우선주차요금 지출의 건</t>
  </si>
  <si>
    <t>서울특별시 마포구시설관리공단</t>
  </si>
  <si>
    <t>재단건물 1층화장실 세면대수리비 지출의 건</t>
  </si>
  <si>
    <t>24시강남누수하수구</t>
  </si>
  <si>
    <t>사무처 청소비 지급 건- 9월분</t>
  </si>
  <si>
    <t>1층 인터넷선 공사비 지출의 건</t>
  </si>
  <si>
    <t>건물 4층 배관공사 및 2,5층 전기수리비 지출의 건</t>
  </si>
  <si>
    <t>태화금속</t>
  </si>
  <si>
    <t>2011/10/28</t>
  </si>
  <si>
    <t>사무처 청소비 지급 건- 10월분</t>
  </si>
  <si>
    <t>4층차량파손관련 수리비 지출의 건</t>
  </si>
  <si>
    <t>기아오토큐</t>
  </si>
  <si>
    <t>온열기 구입비 지출의 건</t>
  </si>
  <si>
    <t>트윈프라자</t>
  </si>
  <si>
    <t>건물 소방점검비용 지출의 건</t>
  </si>
  <si>
    <t>사무처 청소비 지급 건- 11월분</t>
  </si>
  <si>
    <t>건물 4층 배수관 누수공사비 지출의 건</t>
  </si>
  <si>
    <t>미술품 액자설치비 지출의 건</t>
  </si>
  <si>
    <t>10173</t>
  </si>
  <si>
    <t>신성산업</t>
  </si>
  <si>
    <t>215-09-67232</t>
  </si>
  <si>
    <t>현대상사</t>
  </si>
  <si>
    <t>1층 출입구 공사 지출의건</t>
  </si>
  <si>
    <t>건물 폐기물처리비 지출의 건</t>
  </si>
  <si>
    <t>건물 소방설비보수공사비 지출의 건</t>
  </si>
  <si>
    <t>사무처 청소비 지급 건- 12월분</t>
  </si>
  <si>
    <t>건물 누수공사 수리비대금 지출의 건</t>
  </si>
  <si>
    <t>6/7 3층 바닥타일공사 /현대인테리어</t>
  </si>
  <si>
    <t>7/27 계단 복도내 페인트공사/현대인테리어</t>
  </si>
  <si>
    <t>12/21 1층 출입구 공사/신성산업</t>
  </si>
  <si>
    <t>12/26 건물소방설비보수공사/경원소방주식회사</t>
  </si>
  <si>
    <t>12/30 건물누수공사 수리비/현대인테리어</t>
  </si>
  <si>
    <t>시설장비유지비</t>
    <phoneticPr fontId="3" type="noConversion"/>
  </si>
  <si>
    <t>2010년 7월 주민세 미납에 따른 연체료 지급의 건</t>
  </si>
  <si>
    <t>잡지출</t>
    <phoneticPr fontId="3" type="noConversion"/>
  </si>
  <si>
    <t>2011년 퇴직금 추계액</t>
  </si>
  <si>
    <t>퇴직금계정-퇴직급여 계정 대체</t>
  </si>
  <si>
    <t>퇴직급여</t>
    <phoneticPr fontId="3" type="noConversion"/>
  </si>
  <si>
    <t>생수대금 지출의 건</t>
    <phoneticPr fontId="3" type="noConversion"/>
  </si>
  <si>
    <t>퇴직금 지급 Test</t>
  </si>
  <si>
    <t>지급일자</t>
  </si>
  <si>
    <t>입사일자</t>
  </si>
  <si>
    <t>퇴직기준일</t>
  </si>
  <si>
    <t>퇴직급여(법정)</t>
  </si>
  <si>
    <t>결정소득세</t>
  </si>
  <si>
    <t>결정주민세</t>
  </si>
  <si>
    <t>공제합계</t>
  </si>
  <si>
    <t>차인지급액</t>
  </si>
  <si>
    <t>Test 결과 유의적인 특이사항이 발견되지 않음.</t>
  </si>
  <si>
    <t>//Audit Procedure//</t>
  </si>
  <si>
    <t>취 득 일</t>
  </si>
  <si>
    <t>품        명</t>
  </si>
  <si>
    <t>당기증가(원가)</t>
  </si>
  <si>
    <t>당기 총취득금액</t>
  </si>
  <si>
    <t>Test 금액</t>
  </si>
  <si>
    <t>coverage</t>
  </si>
  <si>
    <t xml:space="preserve">                  </t>
    <phoneticPr fontId="137" type="noConversion"/>
  </si>
  <si>
    <t>1. 취득 TEST: 2011년 1월 1일부터 2011년 12월 31일 까지 회사가 취득한 자산 중 금액적으로 중요하다고 판단되는 거래를 샘플링하여</t>
    <phoneticPr fontId="5" type="noConversion"/>
  </si>
  <si>
    <t xml:space="preserve">                  관련 취득증빙을 확인을 통해 금액확인 및 자산계상여부, 감가상각기준일을 확인함.</t>
    <phoneticPr fontId="137" type="noConversion"/>
  </si>
  <si>
    <t>관련계정</t>
    <phoneticPr fontId="137" type="noConversion"/>
  </si>
  <si>
    <t>증빙 Test</t>
    <phoneticPr fontId="137" type="noConversion"/>
  </si>
  <si>
    <t>합계</t>
    <phoneticPr fontId="137" type="noConversion"/>
  </si>
  <si>
    <t>2. 처분 TEST: 당기중 처분된 유형자산 없음.</t>
    <phoneticPr fontId="5" type="noConversion"/>
  </si>
  <si>
    <t xml:space="preserve"> </t>
    <phoneticPr fontId="137" type="noConversion"/>
  </si>
  <si>
    <t>3. 대체 TEST: 당기중 대체된 유형자산 없음.</t>
    <phoneticPr fontId="137" type="noConversion"/>
  </si>
  <si>
    <t>4. 결론: 중요한 왜곡사항이 발견되지 아니함.</t>
    <phoneticPr fontId="137" type="noConversion"/>
  </si>
  <si>
    <t>0.25 상각률</t>
    <phoneticPr fontId="3" type="noConversion"/>
  </si>
  <si>
    <t>건물</t>
    <phoneticPr fontId="3" type="noConversion"/>
  </si>
  <si>
    <t>비품</t>
    <phoneticPr fontId="3" type="noConversion"/>
  </si>
  <si>
    <t>수정사항</t>
    <phoneticPr fontId="3" type="noConversion"/>
  </si>
  <si>
    <t>감가상각비(판관비)</t>
  </si>
  <si>
    <t>감가상각비(판관비)</t>
    <phoneticPr fontId="3" type="noConversion"/>
  </si>
  <si>
    <t>감가상각누계액(건물)</t>
  </si>
  <si>
    <t>감가상각누계액(건물)</t>
    <phoneticPr fontId="3" type="noConversion"/>
  </si>
  <si>
    <t>시설장비유지비(판관비)</t>
  </si>
  <si>
    <t>건물에 대한 자본적지출-&gt;수익적지출 대체</t>
  </si>
  <si>
    <t>건물에 대한 자본적지출-&gt;수익적지출 대체</t>
    <phoneticPr fontId="3" type="noConversion"/>
  </si>
  <si>
    <t>건물에 대한 감가상각 과대계상 수정</t>
  </si>
  <si>
    <t>건물에 대한 감가상각 과대계상 수정</t>
    <phoneticPr fontId="3" type="noConversion"/>
  </si>
  <si>
    <t>ok</t>
  </si>
  <si>
    <t>ok</t>
    <phoneticPr fontId="137" type="noConversion"/>
  </si>
  <si>
    <t>전신전화가입권에 대한 실재성 확인</t>
    <phoneticPr fontId="3" type="noConversion"/>
  </si>
  <si>
    <t xml:space="preserve"> - 전기조서 및 현재가입상태 확인</t>
    <phoneticPr fontId="3" type="noConversion"/>
  </si>
  <si>
    <t>중요성의 관점에서 적정함.</t>
    <phoneticPr fontId="3" type="noConversion"/>
  </si>
  <si>
    <t>유형자산의 증감내역파악</t>
    <phoneticPr fontId="3" type="noConversion"/>
  </si>
  <si>
    <t>감가상각비 재계산</t>
    <phoneticPr fontId="3" type="noConversion"/>
  </si>
  <si>
    <t>유형자산의 취득/처분/대체 파악</t>
    <phoneticPr fontId="3" type="noConversion"/>
  </si>
  <si>
    <t>보헙가입내역 파악</t>
    <phoneticPr fontId="3" type="noConversion"/>
  </si>
  <si>
    <t xml:space="preserve"> -현재 건물에 대해서 현대해상화재보험에 가입되어있음.</t>
    <phoneticPr fontId="3" type="noConversion"/>
  </si>
  <si>
    <t xml:space="preserve"> -보험기간은 2009-6-12 ~2012-6-12이며 월납입 합계보험료는 600,000원임.</t>
    <phoneticPr fontId="3" type="noConversion"/>
  </si>
  <si>
    <t>W/P No.</t>
    <phoneticPr fontId="5" type="noConversion"/>
  </si>
  <si>
    <t>Date</t>
    <phoneticPr fontId="5" type="noConversion"/>
  </si>
  <si>
    <t>Signature</t>
    <phoneticPr fontId="5" type="noConversion"/>
  </si>
  <si>
    <t>EE200</t>
    <phoneticPr fontId="3" type="noConversion"/>
  </si>
  <si>
    <t>(1) 퇴직금 지급의 실재성을 확인하기 위하여 퇴직금지급내역을 수령하여 임의로 3개의 Sample을 추출한 후 퇴직금원천징수영수증/출금증빙을 대사함.</t>
    <phoneticPr fontId="3" type="noConversion"/>
  </si>
  <si>
    <t>2011년 퇴사자는 5명임.</t>
    <phoneticPr fontId="3" type="noConversion"/>
  </si>
  <si>
    <t>구분</t>
    <phoneticPr fontId="5" type="noConversion"/>
  </si>
  <si>
    <t>근속월수</t>
    <phoneticPr fontId="3" type="noConversion"/>
  </si>
  <si>
    <t>Test 결과</t>
    <phoneticPr fontId="137" type="noConversion"/>
  </si>
  <si>
    <t>퇴직자</t>
    <phoneticPr fontId="5" type="noConversion"/>
  </si>
  <si>
    <t>강형희</t>
    <phoneticPr fontId="3" type="noConversion"/>
  </si>
  <si>
    <t>ok</t>
    <phoneticPr fontId="3" type="noConversion"/>
  </si>
  <si>
    <t>송선민</t>
    <phoneticPr fontId="3" type="noConversion"/>
  </si>
  <si>
    <t>박은희</t>
    <phoneticPr fontId="3" type="noConversion"/>
  </si>
  <si>
    <t>열 레이블</t>
  </si>
  <si>
    <t>1월</t>
  </si>
  <si>
    <t>2월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</si>
  <si>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</si>
  <si>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</si>
  <si>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</si>
  <si>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</si>
  <si>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</si>
  <si>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</si>
  <si>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</si>
  <si>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</si>
  <si>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</si>
  <si>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총합계</t>
  </si>
  <si>
    <t>행 레이블</t>
  </si>
  <si>
    <t>교통비</t>
  </si>
  <si>
    <t>세금과공과금</t>
  </si>
  <si>
    <t>운·발송비</t>
  </si>
  <si>
    <t>합계 : 차    변</t>
  </si>
  <si>
    <t>월/과목</t>
    <phoneticPr fontId="3" type="noConversion"/>
  </si>
  <si>
    <t>기관운영비</t>
    <phoneticPr fontId="3" type="noConversion"/>
  </si>
  <si>
    <t>4월에 2010년 태평양복지재단 시설개보수사업 경비배분으로 인한 금액</t>
    <phoneticPr fontId="3" type="noConversion"/>
  </si>
  <si>
    <t>12월에 두리홈에 운영경비의 경비배분 계좌로 이체</t>
    <phoneticPr fontId="3" type="noConversion"/>
  </si>
  <si>
    <t>보험료</t>
    <phoneticPr fontId="3" type="noConversion"/>
  </si>
  <si>
    <t>건물 화재보험에 대한 기간 배분금액</t>
    <phoneticPr fontId="3" type="noConversion"/>
  </si>
  <si>
    <t>복리후생비</t>
    <phoneticPr fontId="3" type="noConversion"/>
  </si>
  <si>
    <t>6월에 2011 미혼모 지정기탁 사업 경비배분</t>
    <phoneticPr fontId="3" type="noConversion"/>
  </si>
  <si>
    <t xml:space="preserve">11월에 풀무원 경비배분 </t>
    <phoneticPr fontId="3" type="noConversion"/>
  </si>
  <si>
    <t>12월에 BB희망날개 배분경비 잔액 운영비계좌로 이체</t>
    <phoneticPr fontId="3" type="noConversion"/>
  </si>
  <si>
    <t>세금과공과금</t>
    <phoneticPr fontId="3" type="noConversion"/>
  </si>
  <si>
    <t>7월에 건축물분 재산세와 9월에 토지분 재산세 납입</t>
    <phoneticPr fontId="3" type="noConversion"/>
  </si>
  <si>
    <t>수수료비용</t>
    <phoneticPr fontId="3" type="noConversion"/>
  </si>
  <si>
    <t>4월에 회계감사에 대한 수수료</t>
    <phoneticPr fontId="3" type="noConversion"/>
  </si>
  <si>
    <t>5월에 부동산 임대중개수수료</t>
    <phoneticPr fontId="3" type="noConversion"/>
  </si>
  <si>
    <t>가입일</t>
    <phoneticPr fontId="137" type="noConversion"/>
  </si>
  <si>
    <t>만기일</t>
    <phoneticPr fontId="137" type="noConversion"/>
  </si>
  <si>
    <t>배분인건비</t>
    <phoneticPr fontId="5" type="noConversion"/>
  </si>
  <si>
    <t>(2) 급여신고 금액과 원장상 급여와의 대사확인</t>
    <phoneticPr fontId="5" type="noConversion"/>
  </si>
  <si>
    <t>(1) 급여신고상 금액</t>
    <phoneticPr fontId="5" type="noConversion"/>
  </si>
  <si>
    <t>급여신고</t>
    <phoneticPr fontId="5" type="noConversion"/>
  </si>
  <si>
    <t>일용근로신고</t>
    <phoneticPr fontId="137" type="noConversion"/>
  </si>
  <si>
    <t>일용잡급</t>
    <phoneticPr fontId="3" type="noConversion"/>
  </si>
  <si>
    <t>잡급(일반비용으로 배분)</t>
    <phoneticPr fontId="3" type="noConversion"/>
  </si>
  <si>
    <t>기타소득신고</t>
    <phoneticPr fontId="3" type="noConversion"/>
  </si>
  <si>
    <t>2009-6-12 ~2012-6-12</t>
    <phoneticPr fontId="137" type="noConversion"/>
  </si>
  <si>
    <t>보험기간</t>
    <phoneticPr fontId="137" type="noConversion"/>
  </si>
  <si>
    <r>
      <t>퇴직연금운용자산(삼성생명퇴직연금)</t>
    </r>
    <r>
      <rPr>
        <sz val="10"/>
        <color indexed="8"/>
        <rFont val="맑은 고딕"/>
        <family val="3"/>
        <charset val="129"/>
        <scheme val="major"/>
      </rPr>
      <t>의 적정성 확인</t>
    </r>
    <phoneticPr fontId="5" type="noConversion"/>
  </si>
  <si>
    <t>판관비 중 금액적으로 중요하거나 비경상적인 거래를 Sampling하여 전표/계약서/출금증빙을 통한 TOT Test를 수행하였음.</t>
  </si>
  <si>
    <t>계정</t>
    <phoneticPr fontId="5" type="noConversion"/>
  </si>
  <si>
    <t>회계일자</t>
  </si>
  <si>
    <t>적요</t>
  </si>
  <si>
    <t>금액</t>
    <phoneticPr fontId="137" type="noConversion"/>
  </si>
  <si>
    <t>Test 결과</t>
    <phoneticPr fontId="137" type="noConversion"/>
  </si>
  <si>
    <t>Ref.</t>
    <phoneticPr fontId="137" type="noConversion"/>
  </si>
  <si>
    <t>특이사항 없음</t>
  </si>
  <si>
    <t>H/C R301</t>
    <phoneticPr fontId="3" type="noConversion"/>
  </si>
  <si>
    <t>H/C R302</t>
  </si>
  <si>
    <t>H/C R302</t>
    <phoneticPr fontId="3" type="noConversion"/>
  </si>
  <si>
    <t>TOT Test 결과 중요한 특이사항이 발견되지 아니함.</t>
  </si>
  <si>
    <t>교육희망대출통장 11월 상환분 이체</t>
  </si>
  <si>
    <t>제일08교육희망대출</t>
  </si>
  <si>
    <t>201-85-04794</t>
  </si>
  <si>
    <t>농협캐쉬상환</t>
  </si>
  <si>
    <t>창립기념식_ 포토존 현수막 제작 지출 건</t>
  </si>
  <si>
    <t>(캐쉬SOS) 대출금 상환 및 이자 납입 - 한진양(장태정)</t>
  </si>
  <si>
    <t>빔프로젝터 대여비 - 내가 꿈꾸는 나라</t>
  </si>
  <si>
    <t>하림멕시칸서교</t>
  </si>
  <si>
    <t>신한희망키움관리운영</t>
  </si>
  <si>
    <t>2011_100인기부릴레이-정수원</t>
  </si>
  <si>
    <t>만만클럽 - 장향숙</t>
  </si>
  <si>
    <t>농협만만클럽/CJ농협</t>
  </si>
  <si>
    <t>11신생아사업 체크카드-키친스토리</t>
  </si>
  <si>
    <t>제일신생아케어서비스</t>
  </si>
  <si>
    <t>창립기념식-사회투자지원,이현숙,재단법인환경</t>
  </si>
  <si>
    <t>창립기념식후원금</t>
  </si>
  <si>
    <t>1.제목: 풀무원건강생활_리플렛추가제작 실비용</t>
  </si>
  <si>
    <t>풀무원</t>
  </si>
  <si>
    <t>1.제목: 한국여성재단_만만클럽 리플렛 제작 비용</t>
  </si>
  <si>
    <t>출장시 교통비 식대</t>
  </si>
  <si>
    <t>RM수수료</t>
  </si>
  <si>
    <t>체납자 독촉장 송부 우편료</t>
  </si>
  <si>
    <t>제일신용카드결재</t>
  </si>
  <si>
    <t>210-85-04794</t>
  </si>
  <si>
    <t>배분경비 운영비계좌로 이체-미혼모영화지원사업</t>
  </si>
  <si>
    <t>배분경비 운영비계좌로 이체-미혼모공모</t>
  </si>
  <si>
    <t>배분경비 운영비계좌로 이체-희망멘토링</t>
  </si>
  <si>
    <t>1. 구세군 두리홈 지원사업 배분경비 지출의 건</t>
  </si>
  <si>
    <t>농협10두리홈 /(09삼성글로벌)</t>
  </si>
  <si>
    <t>1. 미혼모 긴급지원기금 배분경비 지출의 건</t>
  </si>
  <si>
    <t>농협미혼모긴급지원</t>
  </si>
  <si>
    <t>1. 미혼모 영화지원사업 배분경비 지출의건</t>
  </si>
  <si>
    <t>농협10미혼모영화지원</t>
  </si>
  <si>
    <t>1. 미혼모 삶의 질 향상을 위한 지원사업 배분경비 지출의 건</t>
  </si>
  <si>
    <t>농협11미혼모공모 (태평양아모레시설개보수)</t>
  </si>
  <si>
    <t>2011 희망멘토링 사업 배분경비 지출의 건</t>
  </si>
  <si>
    <t>신한lg이노텍 희망멘토링</t>
  </si>
  <si>
    <t>2011 희망멘토링 캠프 및 수료식 진행비 지출의 건</t>
  </si>
  <si>
    <t>농협법인카드</t>
  </si>
  <si>
    <t>퀵발송비</t>
  </si>
  <si>
    <t>제일11보육서비스</t>
  </si>
  <si>
    <t>만만클럽 - 이영주</t>
  </si>
  <si>
    <t>11보육사업 체크카드-카페자스</t>
  </si>
  <si>
    <t>창립기념식-김선욱,여성단체연합</t>
  </si>
  <si>
    <t>아모레개선사업 업무관련 야근식대 지출의 건</t>
  </si>
  <si>
    <t>씨티아모레퍼시픽시설개보수</t>
  </si>
  <si>
    <t>창립기념식 동전모금함 제작, 초대권 발송 등 지출 건</t>
  </si>
  <si>
    <t>농협수익사업임대</t>
  </si>
  <si>
    <t>기부자관리_ 휴먼소프트웨어, MRM과 웹 연동, 신용카드   신청 등 계</t>
  </si>
  <si>
    <t>1. BB희망날개 최종보고회 부페 식사 진행의 건</t>
  </si>
  <si>
    <t>씨티BB희망날개</t>
  </si>
  <si>
    <t>1. BB희망날개 최종보고회 장소 및 식사 진행의 건</t>
  </si>
  <si>
    <t>1. BB희망날개 최종보고회 교통비 지급의 건</t>
  </si>
  <si>
    <t>1. BB희망날개 홍보비 지출의 건(달력 제작)</t>
  </si>
  <si>
    <t>농협예수금</t>
  </si>
  <si>
    <t>(캐쉬SOS) 대출금 상환 및 이자 납입 - 김명진</t>
  </si>
  <si>
    <t>농협캐쉬상환(M연계)</t>
  </si>
  <si>
    <t>(캐쉬SOS) 대출금 상환 및 이자 납입 - 이규영</t>
  </si>
  <si>
    <t>(캐쉬SOS) 대출금 상환 및 이자 납입 - 최경혜</t>
  </si>
  <si>
    <t>(캐쉬SOS) 대출금 상환 및 이자 납입 - 서정순</t>
  </si>
  <si>
    <t>(캐쉬SOS) 대출금 상환 및 이자 납입 - 이은영</t>
  </si>
  <si>
    <t>(희망키움뱅크) 대출금 상환 및 이자 납입 - 이창순</t>
  </si>
  <si>
    <t>신한희망키움상환</t>
  </si>
  <si>
    <t>후원금-오주현</t>
  </si>
  <si>
    <t>창립기념식-풀무원홀딩스</t>
  </si>
  <si>
    <t>농협배분기부</t>
  </si>
  <si>
    <t>CJ모금-이영우</t>
  </si>
  <si>
    <t>창립기념식-장윤경 외</t>
  </si>
  <si>
    <t>교육장 대관료 - 한국협동조합연구소</t>
  </si>
  <si>
    <t>(계좌간이체) 희망키움뱅크 대출금이자후원</t>
  </si>
  <si>
    <t>2011 날자 - 가족프로그램 진행비 지출의 건</t>
  </si>
  <si>
    <t>씨티11날자</t>
  </si>
  <si>
    <t>창립기념식-(재)함께일하는재단,김인선</t>
  </si>
  <si>
    <t>신한포인트카드 입금</t>
  </si>
  <si>
    <t>신한포인트개인기부</t>
  </si>
  <si>
    <t>창립기념식-평화를만드는여성회</t>
  </si>
  <si>
    <t>창립기념식-왕성옥 외</t>
  </si>
  <si>
    <t>(캐쉬SOS) 대출금 상환 및 이자 납입 - 이성옥</t>
  </si>
  <si>
    <t>현금인출</t>
  </si>
  <si>
    <t>창립기념식-박미혜,남인순</t>
  </si>
  <si>
    <t>(캐쉬SOS) 대출금 상환 및 이자 납입 - 유영란</t>
  </si>
  <si>
    <t>(캐쉬SOS) 대출금 상환 및 이자 납입 - 박계선</t>
  </si>
  <si>
    <t>창립기념식-이제윤</t>
  </si>
  <si>
    <t>창립기념식-한명섭</t>
  </si>
  <si>
    <t>창립기념식-현장기부,김효선,김광웅</t>
  </si>
  <si>
    <t>시설개선지원사업 배분경비 지출의 건</t>
  </si>
  <si>
    <t>아모레시설개선 사업비 업무관련 야근식대 지출의 건</t>
  </si>
  <si>
    <t>11다문화안전망 단체 사업이자 반납금-다문화가족을</t>
  </si>
  <si>
    <t>농협11우정사업다문화</t>
  </si>
  <si>
    <t xml:space="preserve"> 지정기부금-넥스토디아이. 이주여성인권포럼 지원금</t>
  </si>
  <si>
    <t>창립기념식-신은주</t>
  </si>
  <si>
    <t>창립기념식-이종란,양지용(인디엔피)</t>
  </si>
  <si>
    <t>케이씨피-신용카드-대한생명,이승용</t>
  </si>
  <si>
    <t>창립기념식-박창기</t>
  </si>
  <si>
    <t>(캐쉬SOS) 대출금 상환 및 이자 납입 - 정지원</t>
  </si>
  <si>
    <t>(계좌간이체) 운영비계좌에서 시설개보수계좌로 이체</t>
  </si>
  <si>
    <t>외부감사 계약서 발송비</t>
  </si>
  <si>
    <t>농협다문화 직업.창업.출산지원</t>
  </si>
  <si>
    <t>외부회계감사비 선금 지급</t>
  </si>
  <si>
    <t>계간지 겨울호 인터뷰 경비 지출의 건</t>
  </si>
  <si>
    <t>창립기념식 우편요금 지출의 건</t>
  </si>
  <si>
    <t>1.제목: 창립기념식준비물품구입</t>
  </si>
  <si>
    <t>재단CMS출금액 중 캐쉬SOS사업 해당분 캐쉬상환계좌2로 이체</t>
  </si>
  <si>
    <t>캐쉬SOS사업 CMS상환수수료 지출의 건</t>
  </si>
  <si>
    <t>제일SBS캐쉬대출및운영비</t>
  </si>
  <si>
    <t>11월분 근로자원천징수액 및 기타, 퇴직소득세액 납부의 건</t>
  </si>
  <si>
    <t>중도퇴사자(최은영.2011.09.30퇴사) 연말정산</t>
  </si>
  <si>
    <t>(계좌간이체) 운영비계좌에서 예수금계좌로 이체(4대보험 이체예정분)</t>
  </si>
  <si>
    <t>신생아 영어케어서비스 12월 인건비</t>
  </si>
  <si>
    <t>보육서비스사업 12월 인건비</t>
  </si>
  <si>
    <t>12월 담당자 인건비</t>
  </si>
  <si>
    <t>자료발송비</t>
  </si>
  <si>
    <t>2011 희망멘토링 캠프 및 수료식 진행비 지출의 건-신용희</t>
  </si>
  <si>
    <t>창립기념식-안진희,박옥희</t>
  </si>
  <si>
    <t>노무점검비 잔금 지급</t>
  </si>
  <si>
    <t>전문가 컨설팅비 잔금 지급</t>
  </si>
  <si>
    <t>(캐쉬SOS) 대출금 상환 및 이자 납입 - 김은비(조근녀)</t>
  </si>
  <si>
    <t>11보육사업 체크카드-질고개쌈밥</t>
  </si>
  <si>
    <t>11보육사업 체크카드-제천시외버스</t>
  </si>
  <si>
    <t>2011/12/10</t>
  </si>
  <si>
    <t>(캐쉬SOS) 대출금 상환 및 이자 납입 - 성순옥</t>
  </si>
  <si>
    <t>후원금(운영지원)-장영아</t>
  </si>
  <si>
    <t>농협개인월정기부</t>
  </si>
  <si>
    <t>예금이자</t>
  </si>
  <si>
    <t>2011/12/11</t>
  </si>
  <si>
    <t>후원금 - 김미숙(회원번호=0000003685)</t>
  </si>
  <si>
    <t>다문화가정 출산지원사업 - 보조인력 인건비 지출의 건</t>
  </si>
  <si>
    <t>창립기념식 홍보물 제작비 지출의 건</t>
  </si>
  <si>
    <t>2011 날자 - 권역단체(서울이주여성디딤터) 권역별 기획회의비 및 인건</t>
  </si>
  <si>
    <t>(캐쉬SOS) 대출금 상환 및 이자 납입 - 이정순</t>
  </si>
  <si>
    <t>(캐쉬SOS) 대출금 상환 및 이자 납입 - 김태희</t>
  </si>
  <si>
    <t>교육희망계좌 예금이자</t>
  </si>
  <si>
    <t>씨티11날자 계좌 예금이자</t>
  </si>
  <si>
    <t>씨티캐쉬상환 계좌 예금이자</t>
  </si>
  <si>
    <t>씨티캐쉬상환</t>
  </si>
  <si>
    <t>씨티BB희망날개 계좌 예금이자</t>
  </si>
  <si>
    <t>(계좌간이체) 교육희망대출통장 이자액 이체</t>
  </si>
  <si>
    <t>씨티캐쉬상환 예금이자 운영비로 이체</t>
  </si>
  <si>
    <t>제일10돌봄</t>
  </si>
  <si>
    <t>2011_100인기부릴레이-최송실</t>
  </si>
  <si>
    <t>성평등 단체 사업이자 반납금(우정사업통장으로 오입금됨)-대구이주여성</t>
  </si>
  <si>
    <t>교보사업 자액반납-한국이주여성</t>
  </si>
  <si>
    <t>농협11생보위-교보</t>
  </si>
  <si>
    <t>CJ모금-권순옥,문정례</t>
  </si>
  <si>
    <t>창립기념식-장하진</t>
  </si>
  <si>
    <t>2011년 11월분 4대보험 재단 부담금 지출 및 납부의 건</t>
  </si>
  <si>
    <t>4대보험 이메일 고지서 신청에 따른 할인액</t>
  </si>
  <si>
    <t>(캐쉬SOS) 대출금 상환 및 이자 납입 - 박옥인</t>
  </si>
  <si>
    <t>(캐쉬SOS) 대출금 상환 및 이자 납입 - 장유경</t>
  </si>
  <si>
    <t>11월 펌뱅킹 비용</t>
  </si>
  <si>
    <t>2011_100인기부릴레이-나윤경</t>
  </si>
  <si>
    <t>11보육사업 체크카드-마포대도식당</t>
  </si>
  <si>
    <t>캐쉬sos대출통장 이자액</t>
  </si>
  <si>
    <t>제일08캐쉬대출</t>
  </si>
  <si>
    <t>2차 건강소위원회 회의비 및 심사비 지출의 건</t>
  </si>
  <si>
    <t>11건강지원사업</t>
  </si>
  <si>
    <t>제4기 계명-유한킴벌리 NPO여성리더십과정 수료식 참석 비용의 건</t>
  </si>
  <si>
    <t>농협우림필유,유한킴벌리/(10날자,11날자)</t>
  </si>
  <si>
    <t>빔프로젝터 대여 - 내가 꿈꾸는 나라</t>
  </si>
  <si>
    <t>협찬금-유한킴벌리</t>
  </si>
  <si>
    <t>창립기념식-이계경,조혜정</t>
  </si>
  <si>
    <t>(희망키움뱅크) 대출금 상환 및 이자 납입 - 김성희</t>
  </si>
  <si>
    <t>12월 인건비</t>
  </si>
  <si>
    <t>다문화가정출산지원사업 - 12월 인건비 지출</t>
  </si>
  <si>
    <t>다문화가정 출산지원사업 행정비 지출의 건</t>
  </si>
  <si>
    <t>마산 대구 출장시 비용</t>
  </si>
  <si>
    <t>제천 청주 출장시 비용</t>
  </si>
  <si>
    <t>티머니구입비</t>
  </si>
  <si>
    <t>퀵서비스 이용료</t>
  </si>
  <si>
    <t>1. BB희망날개 페스티벌 무대 및 행사 광학빔 사용 진행의 건</t>
  </si>
  <si>
    <t>2011 날자 - 권역단체(충북이주여성인권센터) 권역별 기획회의비 및 인</t>
  </si>
  <si>
    <t>다문화가정 출산비지원 12월분 인건비 대체</t>
  </si>
  <si>
    <t>다문화가정 직업창업지원 12월분 인건비 대체</t>
  </si>
  <si>
    <t>희망키움뱅크 급여 지원-12월분</t>
  </si>
  <si>
    <t>계좌간이체-미래포럼 경비사용</t>
  </si>
  <si>
    <t>다문화안전망 9월~11월분 인건비 대체</t>
  </si>
  <si>
    <t>지정기탁사업-이주여성인권포럼 인건비</t>
  </si>
  <si>
    <t>시설개선지원사업 현판제작비 지출의 건</t>
  </si>
  <si>
    <t>1.제목: 2011 지정기탁사업-이주여성인권포럼</t>
  </si>
  <si>
    <t>1. 쉼터지원사업 쉼터 의료비 지원 지출의 건</t>
  </si>
  <si>
    <t>1. 2011다문화가족 안전망 구축 프로젝트 9-11월 인건비 지출의 건</t>
  </si>
  <si>
    <t>11신생아사업 체크카드-큐브릿지</t>
  </si>
  <si>
    <t>1. BB희망날개 페스티벌 현장 진행비 지출의 건</t>
  </si>
  <si>
    <t>1. BB희망날개 페스티벌 현장 진행비 및 장소 무대 연출 지출의 건</t>
  </si>
  <si>
    <t>1. BB희망날개 페스티벌 홍보 진행의 건</t>
  </si>
  <si>
    <t>1. BB희망날개 커뮤니티 지원단 활동비 및 회의참석비 지급의 건</t>
  </si>
  <si>
    <t>(희망키움뱅크) 대출금 상환 및 이자 납입 - 김선희</t>
  </si>
  <si>
    <t>2011 날자 - 최종보고회 영상제작비 지출의 건</t>
  </si>
  <si>
    <t>2011 “엄마에게 희망을” 건강지원사업 지원금 지출 승인 건(4월,10</t>
  </si>
  <si>
    <t>2011 “엄마에게 희망을” 건강지원사업 지원금 지출 승인 건(10월 각</t>
  </si>
  <si>
    <t>농협은행 정기예금가입(11.12.15-12.12.15)4.12%</t>
  </si>
  <si>
    <t>농협정기예금 월이자수익</t>
  </si>
  <si>
    <t>(캐쉬SOS) 대출금 상환 및 이자 납입 - 오석복</t>
  </si>
  <si>
    <t>(캐쉬SOS) 대출금 상환 및 이자 납입 - 김해숙</t>
  </si>
  <si>
    <t>아리스타커피</t>
  </si>
  <si>
    <t xml:space="preserve">2011 시설개선사업 화장실 개보수사업(AU, HBHS) 지원금 지급의 </t>
  </si>
  <si>
    <t>조사원 인건비 지급-김선</t>
  </si>
  <si>
    <t>해피빈</t>
  </si>
  <si>
    <t>2011_100인기부릴레이-손순근</t>
  </si>
  <si>
    <t>롯데카드 포인트기부</t>
  </si>
  <si>
    <t>생그린 여성건강지원기금</t>
  </si>
  <si>
    <t>11신생아사업 체크카드-섬소년</t>
  </si>
  <si>
    <t>외환은행사업비 입금</t>
  </si>
  <si>
    <t>외환은행사업</t>
  </si>
  <si>
    <t>토우주유소</t>
  </si>
  <si>
    <t>후원금-부평구사회복지행정연구회(기부금영수증불필요)</t>
  </si>
  <si>
    <t>창립기념 기부자초청 우편발송 및 기홍팀 회의 식비 지출 건</t>
  </si>
  <si>
    <t>최종보고회 점검회의 경비</t>
  </si>
  <si>
    <t>2011 “엄마에게 희망을” 건강지원사업 3분기(7월~9월) 심사비 지급</t>
  </si>
  <si>
    <t xml:space="preserve">2011 날자 - 사무진행비 지출의 건 </t>
  </si>
  <si>
    <t>2011 날자 - 권역단체(군산여성의전화) 권역별 기획회의비(가족관리 부</t>
  </si>
  <si>
    <t>재단사무실 정리관련 인건비 지출의 건</t>
  </si>
  <si>
    <t>최애자 대출금</t>
  </si>
  <si>
    <t>영상제작 잔금 지급</t>
  </si>
  <si>
    <t>(캐쉬SOS) 대출금 상환 및 이자 납입 - 오고와라</t>
  </si>
  <si>
    <t>12월 교보 인건비</t>
  </si>
  <si>
    <t>조사원 인건지 지급-김선</t>
  </si>
  <si>
    <t>2011 여성공익단체역량강화지원사업 인건비 지출의 건</t>
  </si>
  <si>
    <t>2011 희망멘토링 지역단체 평가회의비 지출의 건</t>
  </si>
  <si>
    <t>2011 여성공익단체역량강화지원사업 최종보고회 지출의 건-교통비</t>
  </si>
  <si>
    <t>2011 여성공익단체역량강화지원사업 최종보고회 지출의 건-하영미</t>
  </si>
  <si>
    <t>2011 여성공익단체역량강화지원사업 최종보고회 지출의 건</t>
  </si>
  <si>
    <t>창립기념식-김상희(입금자-박정은)</t>
  </si>
  <si>
    <t>(캐쉬SOS) 대출금 상환 및 이자 납입 - 신선분</t>
  </si>
  <si>
    <t>빔프로젝터 대여비 - 아시안브릿지</t>
  </si>
  <si>
    <t>11보육사업 체크카드-파리바게트</t>
  </si>
  <si>
    <t>2011/12/17</t>
  </si>
  <si>
    <t>창립기념식-유인택</t>
  </si>
  <si>
    <t>희망키움상환원리금 계좌 예금이자(06.18~12.16)</t>
  </si>
  <si>
    <t>희망키움관리운영비 계좌 예금이자(06.18~12.16)</t>
  </si>
  <si>
    <t>희망키움대출금 계좌 예금이자(06.18~12.16)</t>
  </si>
  <si>
    <t>신한희망키움대출</t>
  </si>
  <si>
    <t>하나주거래 계좌 예금이자</t>
  </si>
  <si>
    <t>하나주거래</t>
  </si>
  <si>
    <t>1.제목: 기획사업(간담회) 및 모금사업 진행</t>
  </si>
  <si>
    <t>계좌간이체-창립후원금 이체 유한킴벌리</t>
  </si>
  <si>
    <t>계좌간이체-창립후원금 이체</t>
  </si>
  <si>
    <t>창립기념식-박인혜</t>
  </si>
  <si>
    <t>창립기념식-씨알여성회</t>
  </si>
  <si>
    <t>CJ모금-유은주</t>
  </si>
  <si>
    <t>김선희-사업변경을 위한 대출금 반환(1월 내 사업확정시 재대출 예정)</t>
  </si>
  <si>
    <t>전화요금 납부 건</t>
  </si>
  <si>
    <t>2011 날자 - 최종보고회 후속 진행비 지출의 건</t>
  </si>
  <si>
    <t>1.건명:창립기념후원연주회관련 서혜경홍보대사 감사인사전달 건</t>
  </si>
  <si>
    <t>실무자 야근식대 지출의 건</t>
  </si>
  <si>
    <t>다문화가정 출산지원사업 - 평가회의 진행비 지출의 건</t>
  </si>
  <si>
    <t>(캐쉬SOS) 대출금 상환 및 이자 납입 - 조현진</t>
  </si>
  <si>
    <t>(캐쉬SOS) 대출금 상환 및 이자 납입 - 장미애</t>
  </si>
  <si>
    <t>(캐쉬SOS) 대출금 상환 및 이자 납입 - 박주희</t>
  </si>
  <si>
    <t>(캐쉬SOS) 대출금 상환 및 이자 납입 - 김영선</t>
  </si>
  <si>
    <t>(캐쉬SOS) 대출금 상환 및 이자 납입 - 김남희</t>
  </si>
  <si>
    <t>후원금-홍영구,박사용,김진주</t>
  </si>
  <si>
    <t>후원금 - 권순우</t>
  </si>
  <si>
    <t>신한(조흥)개인기부</t>
  </si>
  <si>
    <t>후원금 - 김진아</t>
  </si>
  <si>
    <t>11보육사업 체크카드-뚜레주르</t>
  </si>
  <si>
    <t>11보육사업 체크카드-대우하나마트</t>
  </si>
  <si>
    <t>11보육사업 체크카드-오피스마트</t>
  </si>
  <si>
    <t>11보육사업 체크카드-오가니제이션요</t>
  </si>
  <si>
    <t>1.제목: 만만클럽 기부자 관리</t>
  </si>
  <si>
    <t>2011 날자 최종보고회 평가 회의비 지출의 건</t>
  </si>
  <si>
    <t>(캐쉬SOS) 대출금 상환 및 이자 납입 - 서순금</t>
  </si>
  <si>
    <t>2011 희망멘토링 캠프 및 수료식 진행비 지출의 건-최광기</t>
  </si>
  <si>
    <t>2011 여성공익단체역량강화지원사업 외부감사 비용의 건</t>
  </si>
  <si>
    <t>2011 시설개선사업 배분경비(오픈식 참석 및 계약서발송 우편비) 지출의</t>
  </si>
  <si>
    <t>2011 시설개선사업 오픈식 참석 배분경비 지출의 건</t>
  </si>
  <si>
    <t xml:space="preserve">1.제목: 대외협력 MOU추진 비용처리
</t>
  </si>
  <si>
    <t>미래포럼 여성재단카드 선사용후 비용이체</t>
  </si>
  <si>
    <t>한국철도공사</t>
  </si>
  <si>
    <t>뚜레쥬르 광명</t>
  </si>
  <si>
    <t>2011년 삼성자원봉사대상 시상금</t>
  </si>
  <si>
    <t>박영숙기금-박영숙</t>
  </si>
  <si>
    <t>교보사업 자액반납-사랑이샘솟는</t>
  </si>
  <si>
    <t>교보사업 자액반납-한국여성</t>
  </si>
  <si>
    <t>창립기념식-농협서교동</t>
  </si>
  <si>
    <t>(희망키움뱅크) 대출금 상환 및 이자 납입 - 김미영</t>
  </si>
  <si>
    <t>11보육사업 체크카드-신도oa</t>
  </si>
  <si>
    <t>11신생아사업 체크카드-신도oa</t>
  </si>
  <si>
    <t>2011년 12월 급여 지급 건</t>
  </si>
  <si>
    <t>2011년 12월 급여 지급 건(친목회비)</t>
  </si>
  <si>
    <t>12.20 최종보고회 후 영상제작팀 회합</t>
  </si>
  <si>
    <t>2011 날자 권역단체 회의 및 사업평가회의 자문비용 지출의 건</t>
  </si>
  <si>
    <t>1. BB희망날개 커뮤니티 지원단 교통비 지출의 건</t>
  </si>
  <si>
    <t>1. BB희망날개 최종보고회 진행비 지출의 건</t>
  </si>
  <si>
    <t>1. BB희망날개 평가 및 간담회 진행의 건</t>
  </si>
  <si>
    <t>연구비 잔금 지급</t>
  </si>
  <si>
    <t>1. BB희망날개 홍보비 지출의 건</t>
  </si>
  <si>
    <t>교육장 대여료 - BB희망날개 평가회의</t>
  </si>
  <si>
    <t>후원금-에스케이커뮤니케이션</t>
  </si>
  <si>
    <t>지정기부금-광동제약 (시민사회연대회의 지원금)</t>
  </si>
  <si>
    <t>교보사업 자액반납-생명의샘</t>
  </si>
  <si>
    <t>교보사업 자액반납-사단법인장애</t>
  </si>
  <si>
    <t>후원금-인디엔피,양지용</t>
  </si>
  <si>
    <t>창립기념식-이경순</t>
  </si>
  <si>
    <t>2011/12/25</t>
  </si>
  <si>
    <t>캐쉬상환통장 예금이자</t>
  </si>
  <si>
    <t>캐쉬상환통장 선납세금</t>
  </si>
  <si>
    <t>법인카드결재통장 예금이자</t>
  </si>
  <si>
    <t>예수금통장 예금이자</t>
  </si>
  <si>
    <t>최명숙기금통장 예금이자</t>
  </si>
  <si>
    <t>농협최명숙기금/(09SKT복지)</t>
  </si>
  <si>
    <t>최명숙기금통장 선납세금</t>
  </si>
  <si>
    <t>유한킴벌리,우림필유 통장 예금이자</t>
  </si>
  <si>
    <t>건강지원사업 통장 예금이자</t>
  </si>
  <si>
    <t>건강지원사업 통장 선납세금</t>
  </si>
  <si>
    <t>다문화직업창업출산지원사업 통장 예금이자</t>
  </si>
  <si>
    <t>다문화직업창업출산지원사업 통장 선납세금</t>
  </si>
  <si>
    <t>11글로벌 통장 예금이자</t>
  </si>
  <si>
    <t>11글로벌</t>
  </si>
  <si>
    <t>풀무원통장 예금이자</t>
  </si>
  <si>
    <t>만만클럽 - 박찬애</t>
  </si>
  <si>
    <t>농협고사리손기부</t>
  </si>
  <si>
    <t>농협성평등반환(2010년)</t>
  </si>
  <si>
    <t>농협10보아스/(09날자)</t>
  </si>
  <si>
    <t>농협박영숙</t>
  </si>
  <si>
    <t>농협2011성평등</t>
  </si>
  <si>
    <t>출산지원사업 문구비 지출의 건</t>
  </si>
  <si>
    <t>야근식대</t>
  </si>
  <si>
    <t>창업컨설팅후 식사대</t>
  </si>
  <si>
    <t>최종보고회 비용</t>
  </si>
  <si>
    <t>문구 구입비</t>
  </si>
  <si>
    <t>영상촬영비/김연심</t>
  </si>
  <si>
    <t>캐시 향후 방향 업무 협의 후 식대</t>
  </si>
  <si>
    <t>독촉장 반송료</t>
  </si>
  <si>
    <t>대출 종료에 따른 업무 협의시 식대</t>
  </si>
  <si>
    <t>최종보고서 관련 협의후 식대</t>
  </si>
  <si>
    <t>김선희 컨설팅시 비용</t>
  </si>
  <si>
    <t>(캐쉬SOS) 대출금 상환 및 이자 납입 - 한경희</t>
  </si>
  <si>
    <t>캐쉬통장 이자 이체</t>
  </si>
  <si>
    <t>풀무원통장 이자 이체</t>
  </si>
  <si>
    <t>최명숙기금통장 이자 이체</t>
  </si>
  <si>
    <t>유한킴벌리,우림필유 통장 이자 이체</t>
  </si>
  <si>
    <t>건강지원사업 통장 이자 이체</t>
  </si>
  <si>
    <t>11글로벌 통장 이자 이체</t>
  </si>
  <si>
    <t>1. 2011 다문화사회 글짓기 공보전 준비 지출의 건</t>
  </si>
  <si>
    <t>다문화안전망 12월분 인건비 대체</t>
  </si>
  <si>
    <t>1. 다문화안전망 관리운영비 지출의 건</t>
  </si>
  <si>
    <t>시설개보수사업 복합기 사용료 및 사무용품비 지출의 건</t>
  </si>
  <si>
    <t>시설개보수사업 야근식대 및 회의식대 지출의 건</t>
  </si>
  <si>
    <t>사무용 정리함 구입의 건</t>
  </si>
  <si>
    <t>교보사업 문구비 지출의 건</t>
  </si>
  <si>
    <t>보육사업 복합기 사용료 지출의 건</t>
  </si>
  <si>
    <t>강사료 지급-모세종</t>
  </si>
  <si>
    <t>영상제작비 1차 지급</t>
  </si>
  <si>
    <t>(희망키움뱅크) 대출금 상환 및 이자 납입-김경희</t>
  </si>
  <si>
    <t>(희망키움뱅크) 대출금 상환 및 이자 납입-이은경</t>
  </si>
  <si>
    <t>(희망키움뱅크) 대출금 상환 및 이자 납입-두레상송연희</t>
  </si>
  <si>
    <t>(희망키움뱅크) 대출금 상환 및 이자 납입-주선희</t>
  </si>
  <si>
    <t>(희망키움뱅크) 대출금 상환 및 이자 납입-김세경</t>
  </si>
  <si>
    <t>(희망키움뱅크) 대출금 상환 및 이자 납입-이경자</t>
  </si>
  <si>
    <t>(희망키움뱅크) 대출금 상환 및 이자 납입-박미정</t>
  </si>
  <si>
    <t>(희망키움뱅크) 대출금 상환 및 이자 납입-임송현</t>
  </si>
  <si>
    <t>(희망키움뱅크) 대출금 상환 및 이자 납입-김주현</t>
  </si>
  <si>
    <t>(희망키움뱅크) 대출금 상환 및 이자 납입-허영미</t>
  </si>
  <si>
    <t>(희망키움뱅크) 대출금 상환 및 이자 납입-남은정</t>
  </si>
  <si>
    <t>(희망키움뱅크) 대출금 상환 및 이자 납입-김현주</t>
  </si>
  <si>
    <t>(희망키움뱅크) 대출금 상환 및 이자 납입-박선미</t>
  </si>
  <si>
    <t>(희망키움뱅크) 대출금 상환 및 이자 납입-박현정</t>
  </si>
  <si>
    <t>(희망키움뱅크) 대출금 상환 및 이자 납입-전진영</t>
  </si>
  <si>
    <t>(희망키움뱅크) 대출금 상환 및 이자 납입-최영자</t>
  </si>
  <si>
    <t>(희망키움뱅크) 대출금 상환 및 이자 납입-김연우</t>
  </si>
  <si>
    <t>(희망키움뱅크) 대출금 상환 및 이자 납입-김선희</t>
  </si>
  <si>
    <t>(희망키움뱅크) 대출금 상환 및 이자 납입-김영희</t>
  </si>
  <si>
    <t>만만클럽-김민순,김선영,김경모</t>
  </si>
  <si>
    <t>2011_100인기부릴레이-김용익</t>
  </si>
  <si>
    <t>11다문화안전망 단체 사업이자 반납금-아델의집</t>
  </si>
  <si>
    <t>11다문화안전망 단체 사업이자 반납금-오산이주노동</t>
  </si>
  <si>
    <t>만만클럽-박승진</t>
  </si>
  <si>
    <t>CJ기부 - 김태환</t>
  </si>
  <si>
    <t>농협CJ기부</t>
  </si>
  <si>
    <t>지정기부금-마린랜드 (구로삶터 지원금)</t>
  </si>
  <si>
    <t>2011_100인기부릴레이-이공주</t>
  </si>
  <si>
    <t>신한릴레이기부</t>
  </si>
  <si>
    <t>후원금 - 박선영</t>
  </si>
  <si>
    <t>만만클럽-이영수</t>
  </si>
  <si>
    <t>11신생아사업 체크카드-오피스마트</t>
  </si>
  <si>
    <t>사무진행비 지출의 건</t>
  </si>
  <si>
    <t>(계좌간이체) 운영비계좌에서 법인카드계좌로 이체</t>
  </si>
  <si>
    <t>1. 다문화안전망 구축  프로젝트 심리치료비(의료비)지출의 건</t>
  </si>
  <si>
    <t>2012 성평등사회조성사업 심사서류 발송의 건</t>
  </si>
  <si>
    <t>(캐쉬SOS) 대출금 상환 및 이자 납입 - 허정미</t>
  </si>
  <si>
    <t>(캐쉬SOS) 대출금 상환 및 이자 납입 - 문영란</t>
  </si>
  <si>
    <t>(캐쉬SOS) 대출금 상환 및 이자 납입 - 남호정</t>
  </si>
  <si>
    <t>(캐쉬SOS) 대출금 상환 및 이자 납입 - 정남희</t>
  </si>
  <si>
    <t>(캐쉬SOS) 대출금 상환 및 이자 납입 - 정은진</t>
  </si>
  <si>
    <t>12/14-3승인된 지출결의 내용(다문화출산지원사업 행정비)중 개인카드 사용분이 재단카드로 처리되어 담당자(김수현)에게 지급</t>
  </si>
  <si>
    <t>후원금-문효은</t>
  </si>
  <si>
    <t>만만클럽-김선영</t>
  </si>
  <si>
    <t>2011_100인기부릴레이-김광웅</t>
  </si>
  <si>
    <t>교보사업 자액반납-청년여성문화</t>
  </si>
  <si>
    <t>12월분 제일법인카드 결재</t>
  </si>
  <si>
    <t>창립기념식-다솜이재단</t>
  </si>
  <si>
    <t>12월분 법인카드 결재</t>
  </si>
  <si>
    <t>12월분 법인카드 결재(우체국)</t>
  </si>
  <si>
    <t>(희망키움뱅크) 대출금 상환 및 이자 납입 - 우윤순</t>
  </si>
  <si>
    <t>(희망키움뱅크) 대출금 상환 및 이자 납입 - 유재희</t>
  </si>
  <si>
    <t>최종보고회시 자문비용</t>
  </si>
  <si>
    <t>업무협의 찻값</t>
  </si>
  <si>
    <t>위원회 다과비</t>
  </si>
  <si>
    <t>DVD 제작비</t>
  </si>
  <si>
    <t>최종보고회시 교통비</t>
  </si>
  <si>
    <t>1. 2011bb희망날개 홍보비 지출의 건</t>
  </si>
  <si>
    <t>1.건명:창립기념후원연주회 진행비용(사진촬영) 지급</t>
  </si>
  <si>
    <t>1.제목: 일터나눔 현판제작(호성투어)</t>
  </si>
  <si>
    <t>(캐쉬SOS) 대출금 상환 및 이자 납입 - 이정아</t>
  </si>
  <si>
    <t>지정기부금-엔에이치엔 (초등학교 도서지원)</t>
  </si>
  <si>
    <t>계좌간이체-성평등사업 단체반환금(대구이주여성)</t>
  </si>
  <si>
    <t>1.제목: 2011년 지정기탁사업 - 시민사회단체연대회의</t>
  </si>
  <si>
    <t>영상제작 잔금 지급-정선영</t>
  </si>
  <si>
    <t>파트너단체 전문가 평가경비 지급</t>
  </si>
  <si>
    <t>지정기탁-인건비</t>
  </si>
  <si>
    <t>(희망키움뱅크) 대출금 상환 및 이자 납입 - 김연수</t>
  </si>
  <si>
    <t>담당자 인건비 잔여액 지급 처리</t>
  </si>
  <si>
    <t>업무협의 경비</t>
  </si>
  <si>
    <t xml:space="preserve">2011 “엄마에게 희망을” 건강지원사업 4분기(10월~12월) 심사비 </t>
  </si>
  <si>
    <t>2011 “엄마에게 희망을” 건강지원사업 지원금 지출 승인 건(4월 1건</t>
  </si>
  <si>
    <t>2011 글로벌 2차 지원금 지출의 건</t>
  </si>
  <si>
    <t>2011 글로벌 배분경비(최종보고회 자문비 등) 지출의 건</t>
  </si>
  <si>
    <t>1. BB희망날개  홍보비 지출의 건</t>
  </si>
  <si>
    <t>2011 날자 파트너단체 회의비 지출의 건</t>
  </si>
  <si>
    <t>2011 날자 사업 방향 기획을 위한 전국 단체 회의비 지출의 건</t>
  </si>
  <si>
    <t xml:space="preserve">2011 날자 가족 동영상 발송 및 회의비 </t>
  </si>
  <si>
    <t>창업컨설팅 잔금 지급</t>
  </si>
  <si>
    <t>(캐쉬SOS) 대출금 상환 및 이자 납입 - 장현진</t>
  </si>
  <si>
    <t>(캐쉬SOS) 대출금 상환 및 이자 납입 - 위자영</t>
  </si>
  <si>
    <t>(캐쉬SOS) 대출금 상환 및 이자 납입 - 송은희</t>
  </si>
  <si>
    <t>최명숙기금 2010년 이자 이체액</t>
  </si>
  <si>
    <t>용역비 지급-박성은</t>
  </si>
  <si>
    <t>전문가평가비-황정미</t>
  </si>
  <si>
    <t>퀵 발송비</t>
  </si>
  <si>
    <t>전문가평가비-김영옥</t>
  </si>
  <si>
    <t>문서 퀵 착불비</t>
  </si>
  <si>
    <t xml:space="preserve">1.제목: 2011 지정기탁사업 - 서울구로삶터지역자활센터
</t>
  </si>
  <si>
    <t>농협 지로 입금</t>
  </si>
  <si>
    <t>1. 다문화가정 출산지원 사업 사업비 반납의 건</t>
  </si>
  <si>
    <t>2011 여성공익단체역량강화지원사업 최종보고회 평가회의비의 건</t>
  </si>
  <si>
    <t>1. 다문화안전망구축프로젝트 책자제작비 지출의 건</t>
  </si>
  <si>
    <t>2011 다문화가족안전망 구축 프로젝트 책자발간의 건(글짓지)</t>
  </si>
  <si>
    <t>1. 2011 다문화가족 안전망 구축 프로젝트 쉼터 지원비 지출의 건</t>
  </si>
  <si>
    <t xml:space="preserve">1.2011다문화가족안전망 구축프로젝트 이주여성지지프로그램 사업 진행비 </t>
  </si>
  <si>
    <t>1. 다문화가족안전망 구축 프로젝트 배분경비 지출의 건</t>
  </si>
  <si>
    <t>지정기탁사업 배분경비 이체</t>
  </si>
  <si>
    <t>결과보고서 제작비</t>
  </si>
  <si>
    <t>연구보고서 제작비</t>
  </si>
  <si>
    <t>최종보고회시 식대 교통비</t>
  </si>
  <si>
    <t>컨설팅시 식대 교통비</t>
  </si>
  <si>
    <t>사업마무리 미팅 다과비</t>
  </si>
  <si>
    <t>담당자인건비 잔여액 지출처리</t>
  </si>
  <si>
    <t>다문화가정 출산지원사업 인건비 잔여액</t>
  </si>
  <si>
    <t>유한킴벌리장학사업 배분경비 지출의 건</t>
  </si>
  <si>
    <t>농협 지로입금</t>
  </si>
  <si>
    <t>CJ기금</t>
  </si>
  <si>
    <t>후원금(이남섭)</t>
  </si>
  <si>
    <t>성평등 기금(윤재열)</t>
  </si>
  <si>
    <t>보조인력 인건비 지급</t>
  </si>
  <si>
    <t>파트너단체 전문가 평가경비</t>
  </si>
  <si>
    <t>보조인력 인건비 지급-김선(일용직)</t>
  </si>
  <si>
    <t>2011 시설개선사업 배분경비 지출의 건</t>
  </si>
  <si>
    <t>전문가 평가비 지급</t>
  </si>
  <si>
    <t>시설개보수사업 배분경비 지출의 건</t>
  </si>
  <si>
    <t>2011 희망멘토링 회의비 지출의 건</t>
  </si>
  <si>
    <t>우리가 만드는 미래 12월분 임대료</t>
  </si>
  <si>
    <t>우리가 만드는 미래 12월분 관리비</t>
  </si>
  <si>
    <t>쿠기인터내셔날 12월분 임대료</t>
  </si>
  <si>
    <t>쿠기인터내셔날 12월분 관리비</t>
  </si>
  <si>
    <t>(캐쉬SOS) 대출금 상환 및 이자 납입 - 정희영</t>
  </si>
  <si>
    <t>심사평가운영비 잔액 지출 처리</t>
  </si>
  <si>
    <t>계좌간이체</t>
  </si>
  <si>
    <t>동전모금-강성자헤어리더</t>
  </si>
  <si>
    <t>농협캠페인기부</t>
  </si>
  <si>
    <t>후원금 - 김혜숙</t>
  </si>
  <si>
    <t>1. 다문화 출산지원사업 사업 평가 자문회의 진행 지출의 건</t>
  </si>
  <si>
    <t>창립기념식-신연숙</t>
  </si>
  <si>
    <t>11신생아사업 체크카드-대우하나</t>
  </si>
  <si>
    <t>(캐쉬SOS) 대출금 상환 및 이자 납입 - 조미전</t>
  </si>
  <si>
    <t>대차대조표일 전후의 현금예금 거래의 기간귀속의 적정성을 검토한다.</t>
  </si>
  <si>
    <t>감사목적</t>
    <phoneticPr fontId="3" type="noConversion"/>
  </si>
  <si>
    <t>매도가능증권(캐쉬상환MMF 계좌) 해지에 따른 평가손익 손익대체</t>
  </si>
  <si>
    <t>신한은행 및 농협(중앙)의 미수이자 계산 오류</t>
  </si>
  <si>
    <t>농협은행 정기예금(기본재산) 선납세금 과소 계상</t>
  </si>
  <si>
    <t>봄빛기금 출연금 대체시 입력오류</t>
  </si>
  <si>
    <t>물품 기부금 계상</t>
  </si>
  <si>
    <t>매도가능증권평가이익</t>
    <phoneticPr fontId="3" type="noConversion"/>
  </si>
  <si>
    <t>미수수익</t>
    <phoneticPr fontId="3" type="noConversion"/>
  </si>
  <si>
    <t>선납세금</t>
    <phoneticPr fontId="3" type="noConversion"/>
  </si>
  <si>
    <t>출연금</t>
    <phoneticPr fontId="3" type="noConversion"/>
  </si>
  <si>
    <t>기본재산외이자수익</t>
    <phoneticPr fontId="3" type="noConversion"/>
  </si>
  <si>
    <t>특정명의기금</t>
    <phoneticPr fontId="3" type="noConversion"/>
  </si>
  <si>
    <t>기업지정기부금</t>
    <phoneticPr fontId="3" type="noConversion"/>
  </si>
  <si>
    <t>목적사업비</t>
    <phoneticPr fontId="3" type="noConversion"/>
  </si>
  <si>
    <t>2월 22일 이사회</t>
    <phoneticPr fontId="3" type="noConversion"/>
  </si>
  <si>
    <t>수익</t>
    <phoneticPr fontId="3" type="noConversion"/>
  </si>
  <si>
    <t>고유</t>
    <phoneticPr fontId="3" type="noConversion"/>
  </si>
  <si>
    <t>건물비율</t>
    <phoneticPr fontId="3" type="noConversion"/>
  </si>
  <si>
    <t>매출비율</t>
    <phoneticPr fontId="3" type="noConversion"/>
  </si>
  <si>
    <t>당기순이익</t>
    <phoneticPr fontId="3" type="noConversion"/>
  </si>
  <si>
    <t>고유목적사업준비금-이자</t>
    <phoneticPr fontId="3" type="noConversion"/>
  </si>
  <si>
    <t>고유목적사업준비금-임대</t>
    <phoneticPr fontId="3" type="noConversion"/>
  </si>
  <si>
    <t>각사업년도소득금액</t>
    <phoneticPr fontId="3" type="noConversion"/>
  </si>
  <si>
    <t>기본재산이자수익</t>
    <phoneticPr fontId="3" type="noConversion"/>
  </si>
  <si>
    <t>재 무 상 태 표</t>
    <phoneticPr fontId="5" type="noConversion"/>
  </si>
  <si>
    <r>
      <t xml:space="preserve"> 제 </t>
    </r>
    <r>
      <rPr>
        <sz val="10"/>
        <rFont val="Times New Roman"/>
        <family val="1"/>
      </rPr>
      <t xml:space="preserve">12 </t>
    </r>
    <r>
      <rPr>
        <sz val="10"/>
        <rFont val="바탕"/>
        <family val="1"/>
        <charset val="129"/>
      </rPr>
      <t xml:space="preserve">기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 현재</t>
    </r>
    <phoneticPr fontId="7" type="noConversion"/>
  </si>
  <si>
    <t>(재)한국여성재단</t>
  </si>
  <si>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 xml:space="preserve">      12      </t>
    </r>
    <r>
      <rPr>
        <sz val="10"/>
        <rFont val="바탕"/>
        <family val="1"/>
        <charset val="129"/>
      </rPr>
      <t>기</t>
    </r>
    <phoneticPr fontId="3" type="noConversion"/>
  </si>
  <si>
    <t>자                                  산</t>
  </si>
  <si>
    <r>
      <t>현금및현금성자산(주석</t>
    </r>
    <r>
      <rPr>
        <sz val="10"/>
        <rFont val="Times New Roman"/>
        <family val="1"/>
      </rPr>
      <t>3</t>
    </r>
    <r>
      <rPr>
        <sz val="10"/>
        <rFont val="바탕"/>
        <family val="1"/>
        <charset val="129"/>
      </rPr>
      <t>)</t>
    </r>
    <phoneticPr fontId="5" type="noConversion"/>
  </si>
  <si>
    <r>
      <t>단기금융상품(주석</t>
    </r>
    <r>
      <rPr>
        <sz val="10"/>
        <rFont val="Times New Roman"/>
        <family val="1"/>
      </rPr>
      <t>3</t>
    </r>
    <r>
      <rPr>
        <sz val="10"/>
        <rFont val="바탕"/>
        <family val="1"/>
        <charset val="129"/>
      </rPr>
      <t>)</t>
    </r>
    <phoneticPr fontId="5" type="noConversion"/>
  </si>
  <si>
    <t>매도가능증권</t>
    <phoneticPr fontId="5" type="noConversion"/>
  </si>
  <si>
    <t>미수수익</t>
    <phoneticPr fontId="5" type="noConversion"/>
  </si>
  <si>
    <t>미수금</t>
    <phoneticPr fontId="5" type="noConversion"/>
  </si>
  <si>
    <t>선납세금</t>
    <phoneticPr fontId="5" type="noConversion"/>
  </si>
  <si>
    <t>비유동자산</t>
    <phoneticPr fontId="5" type="noConversion"/>
  </si>
  <si>
    <r>
      <t>장기금융상품(주석</t>
    </r>
    <r>
      <rPr>
        <sz val="10"/>
        <rFont val="Times New Roman"/>
        <family val="1"/>
      </rPr>
      <t>3</t>
    </r>
    <r>
      <rPr>
        <sz val="10"/>
        <rFont val="바탕"/>
        <family val="1"/>
        <charset val="129"/>
      </rPr>
      <t>)</t>
    </r>
    <phoneticPr fontId="5" type="noConversion"/>
  </si>
  <si>
    <r>
      <t>유형자산(주석</t>
    </r>
    <r>
      <rPr>
        <sz val="10"/>
        <rFont val="Times New Roman"/>
        <family val="1"/>
      </rPr>
      <t>4</t>
    </r>
    <r>
      <rPr>
        <sz val="10"/>
        <rFont val="바탕"/>
        <family val="1"/>
        <charset val="129"/>
      </rPr>
      <t>)</t>
    </r>
    <phoneticPr fontId="5" type="noConversion"/>
  </si>
  <si>
    <t>토지</t>
    <phoneticPr fontId="5" type="noConversion"/>
  </si>
  <si>
    <t>건물</t>
    <phoneticPr fontId="5" type="noConversion"/>
  </si>
  <si>
    <t>감가상각누계액</t>
    <phoneticPr fontId="5" type="noConversion"/>
  </si>
  <si>
    <t>비품</t>
    <phoneticPr fontId="5" type="noConversion"/>
  </si>
  <si>
    <t>감가상각누계액</t>
    <phoneticPr fontId="5" type="noConversion"/>
  </si>
  <si>
    <t>(3)</t>
    <phoneticPr fontId="5" type="noConversion"/>
  </si>
  <si>
    <r>
      <t>기타비유동자산</t>
    </r>
    <r>
      <rPr>
        <sz val="10"/>
        <rFont val="Times New Roman"/>
        <family val="1"/>
      </rPr>
      <t/>
    </r>
    <phoneticPr fontId="5" type="noConversion"/>
  </si>
  <si>
    <t>1.</t>
    <phoneticPr fontId="5" type="noConversion"/>
  </si>
  <si>
    <t>보증금</t>
    <phoneticPr fontId="5" type="noConversion"/>
  </si>
  <si>
    <t>자         산         총         계</t>
  </si>
  <si>
    <t>재무상태표 - 계속</t>
    <phoneticPr fontId="3" type="noConversion"/>
  </si>
  <si>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 xml:space="preserve">      12      </t>
    </r>
    <r>
      <rPr>
        <sz val="10"/>
        <rFont val="바탕"/>
        <family val="1"/>
        <charset val="129"/>
      </rPr>
      <t>기</t>
    </r>
    <phoneticPr fontId="3" type="noConversion"/>
  </si>
  <si>
    <t>부                                    채</t>
    <phoneticPr fontId="5" type="noConversion"/>
  </si>
  <si>
    <t>I.</t>
    <phoneticPr fontId="5" type="noConversion"/>
  </si>
  <si>
    <t>1.</t>
    <phoneticPr fontId="5" type="noConversion"/>
  </si>
  <si>
    <t>미지급금</t>
    <phoneticPr fontId="5" type="noConversion"/>
  </si>
  <si>
    <t>2.</t>
    <phoneticPr fontId="5" type="noConversion"/>
  </si>
  <si>
    <t>예수금</t>
    <phoneticPr fontId="5" type="noConversion"/>
  </si>
  <si>
    <t>3.</t>
    <phoneticPr fontId="5" type="noConversion"/>
  </si>
  <si>
    <t>선수금</t>
    <phoneticPr fontId="5" type="noConversion"/>
  </si>
  <si>
    <t>II.</t>
    <phoneticPr fontId="5" type="noConversion"/>
  </si>
  <si>
    <t>비유동부채</t>
    <phoneticPr fontId="5" type="noConversion"/>
  </si>
  <si>
    <t>임대보증금</t>
    <phoneticPr fontId="5" type="noConversion"/>
  </si>
  <si>
    <t>사업위탁금</t>
    <phoneticPr fontId="7" type="noConversion"/>
  </si>
  <si>
    <r>
      <t>퇴직급여충당부채(주석</t>
    </r>
    <r>
      <rPr>
        <sz val="10"/>
        <rFont val="Times New Roman"/>
        <family val="1"/>
      </rPr>
      <t>5</t>
    </r>
    <r>
      <rPr>
        <sz val="10"/>
        <rFont val="바탕"/>
        <family val="1"/>
        <charset val="129"/>
      </rPr>
      <t>)</t>
    </r>
    <phoneticPr fontId="5" type="noConversion"/>
  </si>
  <si>
    <t>퇴직연금운용자산</t>
    <phoneticPr fontId="7" type="noConversion"/>
  </si>
  <si>
    <t>부         채         총         계</t>
  </si>
  <si>
    <t>자                                  본</t>
  </si>
  <si>
    <t>출연금</t>
    <phoneticPr fontId="7" type="noConversion"/>
  </si>
  <si>
    <t>기타포괄손익누계액</t>
    <phoneticPr fontId="5" type="noConversion"/>
  </si>
  <si>
    <t>매도가능증권평가이익(손실)</t>
    <phoneticPr fontId="5" type="noConversion"/>
  </si>
  <si>
    <t>III.</t>
    <phoneticPr fontId="5" type="noConversion"/>
  </si>
  <si>
    <t>이익잉여금</t>
    <phoneticPr fontId="5" type="noConversion"/>
  </si>
  <si>
    <t>미처분이익잉여금</t>
    <phoneticPr fontId="5" type="noConversion"/>
  </si>
  <si>
    <t>자         본         총         계</t>
  </si>
  <si>
    <t>별첨 재무제표에 대한 주석은 본 재무제표의 일부입니다.</t>
  </si>
  <si>
    <t>손 익 계 산 서</t>
  </si>
  <si>
    <r>
      <t xml:space="preserve"> 제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 기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일까지</t>
    </r>
    <phoneticPr fontId="7" type="noConversion"/>
  </si>
  <si>
    <r>
      <t>(</t>
    </r>
    <r>
      <rPr>
        <sz val="10"/>
        <rFont val="바탕"/>
        <family val="1"/>
        <charset val="129"/>
      </rPr>
      <t>단위</t>
    </r>
    <r>
      <rPr>
        <sz val="10"/>
        <rFont val="Times New Roman"/>
        <family val="1"/>
      </rPr>
      <t xml:space="preserve"> : </t>
    </r>
    <r>
      <rPr>
        <sz val="10"/>
        <rFont val="바탕"/>
        <family val="1"/>
        <charset val="129"/>
      </rPr>
      <t>원</t>
    </r>
    <r>
      <rPr>
        <sz val="10"/>
        <rFont val="Times New Roman"/>
        <family val="1"/>
      </rPr>
      <t>)</t>
    </r>
    <phoneticPr fontId="5" type="noConversion"/>
  </si>
  <si>
    <t>사업수익</t>
    <phoneticPr fontId="7" type="noConversion"/>
  </si>
  <si>
    <t>이자수입</t>
    <phoneticPr fontId="7" type="noConversion"/>
  </si>
  <si>
    <t>행사협찬</t>
    <phoneticPr fontId="7" type="noConversion"/>
  </si>
  <si>
    <t>사업이자수입</t>
    <phoneticPr fontId="3" type="noConversion"/>
  </si>
  <si>
    <t>기타수입</t>
    <phoneticPr fontId="7" type="noConversion"/>
  </si>
  <si>
    <t>기부금</t>
    <phoneticPr fontId="7" type="noConversion"/>
  </si>
  <si>
    <t>수입임대료</t>
    <phoneticPr fontId="7" type="noConversion"/>
  </si>
  <si>
    <t>기업지정기부금</t>
    <phoneticPr fontId="7" type="noConversion"/>
  </si>
  <si>
    <t>사업운영비</t>
    <phoneticPr fontId="7" type="noConversion"/>
  </si>
  <si>
    <t>배분사업비</t>
    <phoneticPr fontId="7" type="noConversion"/>
  </si>
  <si>
    <t>모금사업비</t>
    <phoneticPr fontId="7" type="noConversion"/>
  </si>
  <si>
    <t>홍보사업비</t>
    <phoneticPr fontId="7" type="noConversion"/>
  </si>
  <si>
    <t>경상비</t>
    <phoneticPr fontId="7" type="noConversion"/>
  </si>
  <si>
    <t>사업이익(손실)</t>
    <phoneticPr fontId="7" type="noConversion"/>
  </si>
  <si>
    <t>IV.</t>
    <phoneticPr fontId="5" type="noConversion"/>
  </si>
  <si>
    <t>영업외비용</t>
    <phoneticPr fontId="7" type="noConversion"/>
  </si>
  <si>
    <t>V.</t>
    <phoneticPr fontId="5" type="noConversion"/>
  </si>
  <si>
    <t>당기순이익(손실)</t>
    <phoneticPr fontId="5" type="noConversion"/>
  </si>
  <si>
    <r>
      <rPr>
        <sz val="10"/>
        <rFont val="바탕"/>
        <family val="1"/>
        <charset val="129"/>
      </rP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  <phoneticPr fontId="5" type="noConversion"/>
  </si>
  <si>
    <r>
      <t>이익잉여금처분계산서</t>
    </r>
    <r>
      <rPr>
        <u/>
        <sz val="18"/>
        <rFont val="Times New Roman"/>
        <family val="1"/>
      </rPr>
      <t/>
    </r>
    <phoneticPr fontId="5" type="noConversion"/>
  </si>
  <si>
    <r>
      <rPr>
        <sz val="10"/>
        <rFont val="바탕"/>
        <family val="1"/>
        <charset val="129"/>
      </rPr>
      <t>미처분이익잉여금</t>
    </r>
    <phoneticPr fontId="5" type="noConversion"/>
  </si>
  <si>
    <r>
      <rPr>
        <sz val="10"/>
        <rFont val="바탕"/>
        <family val="1"/>
        <charset val="129"/>
      </rPr>
      <t>전기이월미처분이익잉여금</t>
    </r>
    <phoneticPr fontId="5" type="noConversion"/>
  </si>
  <si>
    <t>전기오류수정이익</t>
    <phoneticPr fontId="3" type="noConversion"/>
  </si>
  <si>
    <r>
      <rPr>
        <sz val="10"/>
        <rFont val="바탕"/>
        <family val="1"/>
        <charset val="129"/>
      </rPr>
      <t>차기이월미처분이익잉여금</t>
    </r>
    <phoneticPr fontId="5" type="noConversion"/>
  </si>
  <si>
    <r>
      <rPr>
        <sz val="10"/>
        <rFont val="바탕"/>
        <family val="1"/>
        <charset val="129"/>
      </rP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</si>
  <si>
    <r>
      <rPr>
        <u/>
        <sz val="18"/>
        <rFont val="바탕체"/>
        <family val="1"/>
        <charset val="129"/>
      </rPr>
      <t>현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금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흐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름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표</t>
    </r>
  </si>
  <si>
    <t>영업활동으로 인한 현금흐름</t>
  </si>
  <si>
    <t>당기순이익</t>
    <phoneticPr fontId="5" type="noConversion"/>
  </si>
  <si>
    <t xml:space="preserve">현금의 유출이 없는 </t>
    <phoneticPr fontId="7" type="noConversion"/>
  </si>
  <si>
    <t>비용등의 가산</t>
  </si>
  <si>
    <t>가.퇴직급여</t>
  </si>
  <si>
    <t>나.감가상각비</t>
  </si>
  <si>
    <t xml:space="preserve">현금의 유입이 없는 </t>
    <phoneticPr fontId="7" type="noConversion"/>
  </si>
  <si>
    <t xml:space="preserve">수익등의 차감 </t>
  </si>
  <si>
    <t>가.매도가능증권평가이익</t>
    <phoneticPr fontId="7" type="noConversion"/>
  </si>
  <si>
    <t>4.</t>
    <phoneticPr fontId="5" type="noConversion"/>
  </si>
  <si>
    <t xml:space="preserve">영업활동으로 인한 </t>
    <phoneticPr fontId="5" type="noConversion"/>
  </si>
  <si>
    <t>자산 · 부채의 변동</t>
  </si>
  <si>
    <t>나.미수금의 감소(증가)</t>
    <phoneticPr fontId="7" type="noConversion"/>
  </si>
  <si>
    <t>다.미수수익의 감소(증가)</t>
    <phoneticPr fontId="7" type="noConversion"/>
  </si>
  <si>
    <t>마.선수금의 증가(감소)</t>
    <phoneticPr fontId="7" type="noConversion"/>
  </si>
  <si>
    <t>바.미지급금의 증가(감소)</t>
    <phoneticPr fontId="7" type="noConversion"/>
  </si>
  <si>
    <t>사.예수금의 증가(감소)</t>
    <phoneticPr fontId="7" type="noConversion"/>
  </si>
  <si>
    <t xml:space="preserve">아.부가세예수금의 감소 </t>
    <phoneticPr fontId="7" type="noConversion"/>
  </si>
  <si>
    <t>자.퇴직연금운용자산의 증가</t>
    <phoneticPr fontId="7" type="noConversion"/>
  </si>
  <si>
    <t>차.퇴직금의 지급</t>
    <phoneticPr fontId="7" type="noConversion"/>
  </si>
  <si>
    <t>투자활동으로 인한 현금흐름</t>
  </si>
  <si>
    <t>투자활동으로 인한 현금유입액</t>
    <phoneticPr fontId="7" type="noConversion"/>
  </si>
  <si>
    <t>가.단기금융상품의 감소</t>
    <phoneticPr fontId="7" type="noConversion"/>
  </si>
  <si>
    <t>나.매도가능증권의 감소</t>
    <phoneticPr fontId="7" type="noConversion"/>
  </si>
  <si>
    <t>다.장기금융상품의 감소</t>
    <phoneticPr fontId="7" type="noConversion"/>
  </si>
  <si>
    <t>현금흐름표 - 계속</t>
    <phoneticPr fontId="3" type="noConversion"/>
  </si>
  <si>
    <t>라.임대보증금의 증가</t>
    <phoneticPr fontId="7" type="noConversion"/>
  </si>
  <si>
    <t>마.사업위탁금의 증가</t>
    <phoneticPr fontId="7" type="noConversion"/>
  </si>
  <si>
    <t>투자활동으로 인한 현금유출액</t>
    <phoneticPr fontId="7" type="noConversion"/>
  </si>
  <si>
    <t>가.단기금융상품의 증가</t>
    <phoneticPr fontId="7" type="noConversion"/>
  </si>
  <si>
    <t>나.매도가능증권의 증가</t>
    <phoneticPr fontId="7" type="noConversion"/>
  </si>
  <si>
    <t>다.장기금융상품의 증가</t>
    <phoneticPr fontId="7" type="noConversion"/>
  </si>
  <si>
    <t>라.건물의 증가</t>
    <phoneticPr fontId="3" type="noConversion"/>
  </si>
  <si>
    <t>마.비품의 증가</t>
    <phoneticPr fontId="7" type="noConversion"/>
  </si>
  <si>
    <t>바.사업위탁금의 감소</t>
    <phoneticPr fontId="7" type="noConversion"/>
  </si>
  <si>
    <t>재무활동으로 인한 현금 흐름</t>
  </si>
  <si>
    <t>재무활동으로 인한 현금유입액</t>
    <phoneticPr fontId="7" type="noConversion"/>
  </si>
  <si>
    <t>가.출연금의 증가</t>
    <phoneticPr fontId="7" type="noConversion"/>
  </si>
  <si>
    <t>재무활동으로 인한 현금유출액</t>
    <phoneticPr fontId="7" type="noConversion"/>
  </si>
  <si>
    <r>
      <t>현금의 증가 (</t>
    </r>
    <r>
      <rPr>
        <sz val="10"/>
        <rFont val="Times New Roman"/>
        <family val="1"/>
      </rPr>
      <t>I + II + III</t>
    </r>
    <r>
      <rPr>
        <sz val="10"/>
        <rFont val="바탕"/>
        <family val="1"/>
        <charset val="129"/>
      </rPr>
      <t>)</t>
    </r>
    <phoneticPr fontId="5" type="noConversion"/>
  </si>
  <si>
    <t>기초의 현금</t>
  </si>
  <si>
    <t>기말의 현금</t>
  </si>
  <si>
    <r>
      <rPr>
        <u/>
        <sz val="18"/>
        <rFont val="바탕체"/>
        <family val="1"/>
        <charset val="129"/>
      </rPr>
      <t>제조원가명세서</t>
    </r>
    <phoneticPr fontId="5" type="noConversion"/>
  </si>
  <si>
    <t xml:space="preserve"> 제25기 2008년 1월 1일부터  2008년 12월 31일까지</t>
  </si>
  <si>
    <t xml:space="preserve"> 제24기 2007년 1월 1일부터  2007년 12월 31일까지</t>
  </si>
  <si>
    <t>㈜태화정공</t>
  </si>
  <si>
    <r>
      <rPr>
        <sz val="10"/>
        <rFont val="바탕"/>
        <family val="1"/>
        <charset val="129"/>
      </rPr>
      <t>과</t>
    </r>
    <r>
      <rPr>
        <sz val="10"/>
        <rFont val="Times New Roman"/>
        <family val="1"/>
      </rPr>
      <t xml:space="preserve">                       </t>
    </r>
    <r>
      <rPr>
        <sz val="10"/>
        <rFont val="바탕"/>
        <family val="1"/>
        <charset val="129"/>
      </rPr>
      <t>목</t>
    </r>
  </si>
  <si>
    <t>제      25      기</t>
  </si>
  <si>
    <t>제      24      기</t>
  </si>
  <si>
    <r>
      <rPr>
        <sz val="10"/>
        <rFont val="바탕"/>
        <family val="1"/>
        <charset val="129"/>
      </rPr>
      <t>원부재료비</t>
    </r>
    <phoneticPr fontId="5" type="noConversion"/>
  </si>
  <si>
    <r>
      <rPr>
        <sz val="10"/>
        <rFont val="바탕"/>
        <family val="1"/>
        <charset val="129"/>
      </rPr>
      <t>기초원재료재고액</t>
    </r>
    <phoneticPr fontId="5" type="noConversion"/>
  </si>
  <si>
    <r>
      <rPr>
        <sz val="10"/>
        <rFont val="바탕"/>
        <family val="1"/>
        <charset val="129"/>
      </rPr>
      <t>당기원재료매입액</t>
    </r>
    <phoneticPr fontId="5" type="noConversion"/>
  </si>
  <si>
    <r>
      <rPr>
        <sz val="10"/>
        <rFont val="바탕"/>
        <family val="1"/>
        <charset val="129"/>
      </rPr>
      <t>기말원재료재고액</t>
    </r>
    <phoneticPr fontId="5" type="noConversion"/>
  </si>
  <si>
    <r>
      <rPr>
        <sz val="10"/>
        <rFont val="바탕"/>
        <family val="1"/>
        <charset val="129"/>
      </rPr>
      <t>노무비</t>
    </r>
    <phoneticPr fontId="5" type="noConversion"/>
  </si>
  <si>
    <r>
      <rPr>
        <sz val="10"/>
        <rFont val="바탕"/>
        <family val="1"/>
        <charset val="129"/>
      </rPr>
      <t>급료와수당</t>
    </r>
    <phoneticPr fontId="5" type="noConversion"/>
  </si>
  <si>
    <r>
      <rPr>
        <sz val="10"/>
        <rFont val="바탕"/>
        <family val="1"/>
        <charset val="129"/>
      </rPr>
      <t>임금</t>
    </r>
    <phoneticPr fontId="5" type="noConversion"/>
  </si>
  <si>
    <r>
      <rPr>
        <sz val="10"/>
        <rFont val="바탕"/>
        <family val="1"/>
        <charset val="129"/>
      </rPr>
      <t>상여금</t>
    </r>
    <phoneticPr fontId="5" type="noConversion"/>
  </si>
  <si>
    <r>
      <rPr>
        <sz val="10"/>
        <rFont val="바탕"/>
        <family val="1"/>
        <charset val="129"/>
      </rPr>
      <t>퇴직급여</t>
    </r>
    <phoneticPr fontId="5" type="noConversion"/>
  </si>
  <si>
    <t>제조경비</t>
    <phoneticPr fontId="5" type="noConversion"/>
  </si>
  <si>
    <r>
      <rPr>
        <sz val="10"/>
        <rFont val="바탕"/>
        <family val="1"/>
        <charset val="129"/>
      </rPr>
      <t>연료비</t>
    </r>
    <phoneticPr fontId="5" type="noConversion"/>
  </si>
  <si>
    <r>
      <rPr>
        <sz val="10"/>
        <rFont val="바탕"/>
        <family val="1"/>
        <charset val="129"/>
      </rPr>
      <t>전력비</t>
    </r>
    <phoneticPr fontId="5" type="noConversion"/>
  </si>
  <si>
    <r>
      <rPr>
        <sz val="10"/>
        <rFont val="바탕"/>
        <family val="1"/>
        <charset val="129"/>
      </rPr>
      <t>수도광열비</t>
    </r>
    <phoneticPr fontId="5" type="noConversion"/>
  </si>
  <si>
    <r>
      <rPr>
        <sz val="10"/>
        <rFont val="바탕"/>
        <family val="1"/>
        <charset val="129"/>
      </rPr>
      <t>운임</t>
    </r>
    <phoneticPr fontId="5" type="noConversion"/>
  </si>
  <si>
    <r>
      <rPr>
        <sz val="10"/>
        <rFont val="바탕"/>
        <family val="1"/>
        <charset val="129"/>
      </rPr>
      <t>수선비</t>
    </r>
    <phoneticPr fontId="5" type="noConversion"/>
  </si>
  <si>
    <r>
      <rPr>
        <sz val="10"/>
        <rFont val="바탕"/>
        <family val="1"/>
        <charset val="129"/>
      </rPr>
      <t>소모품비</t>
    </r>
    <phoneticPr fontId="5" type="noConversion"/>
  </si>
  <si>
    <r>
      <rPr>
        <sz val="10"/>
        <rFont val="바탕"/>
        <family val="1"/>
        <charset val="129"/>
      </rPr>
      <t>세금과공과</t>
    </r>
    <phoneticPr fontId="5" type="noConversion"/>
  </si>
  <si>
    <r>
      <rPr>
        <sz val="10"/>
        <rFont val="바탕"/>
        <family val="1"/>
        <charset val="129"/>
      </rPr>
      <t>보험료</t>
    </r>
    <phoneticPr fontId="5" type="noConversion"/>
  </si>
  <si>
    <r>
      <rPr>
        <sz val="10"/>
        <rFont val="바탕"/>
        <family val="1"/>
        <charset val="129"/>
      </rPr>
      <t>복리후생비</t>
    </r>
    <phoneticPr fontId="5" type="noConversion"/>
  </si>
  <si>
    <r>
      <rPr>
        <sz val="10"/>
        <rFont val="바탕"/>
        <family val="1"/>
        <charset val="129"/>
      </rPr>
      <t>여비교통비</t>
    </r>
    <phoneticPr fontId="5" type="noConversion"/>
  </si>
  <si>
    <r>
      <rPr>
        <sz val="10"/>
        <rFont val="바탕"/>
        <family val="1"/>
        <charset val="129"/>
      </rPr>
      <t>사무비</t>
    </r>
    <phoneticPr fontId="5" type="noConversion"/>
  </si>
  <si>
    <r>
      <rPr>
        <sz val="10"/>
        <rFont val="바탕"/>
        <family val="1"/>
        <charset val="129"/>
      </rPr>
      <t>지급수수료</t>
    </r>
    <phoneticPr fontId="5" type="noConversion"/>
  </si>
  <si>
    <r>
      <rPr>
        <sz val="10"/>
        <rFont val="바탕"/>
        <family val="1"/>
        <charset val="129"/>
      </rPr>
      <t>교육비</t>
    </r>
    <phoneticPr fontId="5" type="noConversion"/>
  </si>
  <si>
    <r>
      <rPr>
        <sz val="10"/>
        <rFont val="바탕"/>
        <family val="1"/>
        <charset val="129"/>
      </rPr>
      <t>지급임차료</t>
    </r>
    <phoneticPr fontId="5" type="noConversion"/>
  </si>
  <si>
    <r>
      <rPr>
        <sz val="10"/>
        <rFont val="바탕"/>
        <family val="1"/>
        <charset val="129"/>
      </rPr>
      <t>시험의뢰비</t>
    </r>
    <phoneticPr fontId="5" type="noConversion"/>
  </si>
  <si>
    <r>
      <rPr>
        <sz val="10"/>
        <rFont val="바탕"/>
        <family val="1"/>
        <charset val="129"/>
      </rPr>
      <t>외주가공비</t>
    </r>
    <phoneticPr fontId="5" type="noConversion"/>
  </si>
  <si>
    <r>
      <rPr>
        <sz val="10"/>
        <rFont val="바탕"/>
        <family val="1"/>
        <charset val="129"/>
      </rPr>
      <t>차량유지비</t>
    </r>
    <phoneticPr fontId="5" type="noConversion"/>
  </si>
  <si>
    <r>
      <rPr>
        <sz val="10"/>
        <rFont val="바탕"/>
        <family val="1"/>
        <charset val="129"/>
      </rPr>
      <t>리스료</t>
    </r>
    <phoneticPr fontId="5" type="noConversion"/>
  </si>
  <si>
    <r>
      <rPr>
        <sz val="10"/>
        <rFont val="바탕"/>
        <family val="1"/>
        <charset val="129"/>
      </rPr>
      <t>폐수처리비</t>
    </r>
    <phoneticPr fontId="5" type="noConversion"/>
  </si>
  <si>
    <r>
      <rPr>
        <sz val="10"/>
        <rFont val="바탕"/>
        <family val="1"/>
        <charset val="129"/>
      </rPr>
      <t>잡급료</t>
    </r>
    <phoneticPr fontId="5" type="noConversion"/>
  </si>
  <si>
    <r>
      <rPr>
        <sz val="10"/>
        <rFont val="바탕"/>
        <family val="1"/>
        <charset val="129"/>
      </rPr>
      <t>잡비</t>
    </r>
    <phoneticPr fontId="5" type="noConversion"/>
  </si>
  <si>
    <r>
      <rPr>
        <sz val="10"/>
        <rFont val="바탕"/>
        <family val="1"/>
        <charset val="129"/>
      </rPr>
      <t>감가상각비</t>
    </r>
    <phoneticPr fontId="5" type="noConversion"/>
  </si>
  <si>
    <r>
      <rPr>
        <sz val="10"/>
        <rFont val="바탕"/>
        <family val="1"/>
        <charset val="129"/>
      </rPr>
      <t>당기총제조비용</t>
    </r>
    <phoneticPr fontId="5" type="noConversion"/>
  </si>
  <si>
    <r>
      <rPr>
        <sz val="10"/>
        <rFont val="바탕"/>
        <family val="1"/>
        <charset val="129"/>
      </rPr>
      <t>기초재공품재고액</t>
    </r>
    <phoneticPr fontId="5" type="noConversion"/>
  </si>
  <si>
    <r>
      <rPr>
        <sz val="10"/>
        <rFont val="바탕"/>
        <family val="1"/>
        <charset val="129"/>
      </rPr>
      <t>합계</t>
    </r>
    <phoneticPr fontId="5" type="noConversion"/>
  </si>
  <si>
    <r>
      <rPr>
        <sz val="10"/>
        <rFont val="바탕"/>
        <family val="1"/>
        <charset val="129"/>
      </rPr>
      <t>기말재공품재고액</t>
    </r>
    <phoneticPr fontId="5" type="noConversion"/>
  </si>
  <si>
    <r>
      <rPr>
        <sz val="10"/>
        <rFont val="바탕"/>
        <family val="1"/>
        <charset val="129"/>
      </rPr>
      <t>당기제품제조원가</t>
    </r>
    <phoneticPr fontId="5" type="noConversion"/>
  </si>
  <si>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 xml:space="preserve">      13      </t>
    </r>
    <r>
      <rPr>
        <sz val="10"/>
        <rFont val="바탕"/>
        <family val="1"/>
        <charset val="129"/>
      </rPr>
      <t>기</t>
    </r>
    <phoneticPr fontId="3" type="noConversion"/>
  </si>
  <si>
    <r>
      <t xml:space="preserve"> 제 </t>
    </r>
    <r>
      <rPr>
        <sz val="10"/>
        <rFont val="Times New Roman"/>
        <family val="1"/>
      </rPr>
      <t xml:space="preserve">13 </t>
    </r>
    <r>
      <rPr>
        <sz val="10"/>
        <rFont val="바탕"/>
        <family val="1"/>
        <charset val="129"/>
      </rPr>
      <t xml:space="preserve">기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 현재</t>
    </r>
    <phoneticPr fontId="7" type="noConversion"/>
  </si>
  <si>
    <r>
      <t xml:space="preserve"> 제 </t>
    </r>
    <r>
      <rPr>
        <sz val="10"/>
        <rFont val="Times New Roman"/>
        <family val="1"/>
      </rPr>
      <t>13</t>
    </r>
    <r>
      <rPr>
        <sz val="10"/>
        <rFont val="바탕"/>
        <family val="1"/>
        <charset val="129"/>
      </rPr>
      <t xml:space="preserve"> 기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일까지</t>
    </r>
    <phoneticPr fontId="7" type="noConversion"/>
  </si>
  <si>
    <t>감가상각비</t>
    <phoneticPr fontId="3" type="noConversion"/>
  </si>
  <si>
    <t>감가상각누계액(비품)</t>
    <phoneticPr fontId="3" type="noConversion"/>
  </si>
  <si>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 xml:space="preserve">      13      </t>
    </r>
    <r>
      <rPr>
        <sz val="10"/>
        <rFont val="바탕"/>
        <family val="1"/>
        <charset val="129"/>
      </rPr>
      <t>기</t>
    </r>
    <phoneticPr fontId="3" type="noConversion"/>
  </si>
  <si>
    <r>
      <t xml:space="preserve">제 </t>
    </r>
    <r>
      <rPr>
        <sz val="10"/>
        <rFont val="Times New Roman"/>
        <family val="1"/>
      </rPr>
      <t>13</t>
    </r>
    <r>
      <rPr>
        <sz val="10"/>
        <rFont val="바탕"/>
        <family val="1"/>
        <charset val="129"/>
      </rPr>
      <t xml:space="preserve"> 기    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 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               제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 기   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 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 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</t>
    </r>
    <phoneticPr fontId="5" type="noConversion"/>
  </si>
  <si>
    <r>
      <t xml:space="preserve">               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 xml:space="preserve">일까지                               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 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일까지</t>
    </r>
    <phoneticPr fontId="5" type="noConversion"/>
  </si>
  <si>
    <r>
      <t xml:space="preserve">  </t>
    </r>
    <r>
      <rPr>
        <sz val="10"/>
        <rFont val="Times New Roman"/>
        <family val="1"/>
      </rPr>
      <t xml:space="preserve">  </t>
    </r>
    <r>
      <rPr>
        <sz val="10"/>
        <rFont val="바탕"/>
        <family val="1"/>
        <charset val="129"/>
      </rPr>
      <t xml:space="preserve">처분예정일 : </t>
    </r>
    <r>
      <rPr>
        <sz val="10"/>
        <rFont val="Times New Roman"/>
        <family val="1"/>
      </rPr>
      <t>2012</t>
    </r>
    <r>
      <rPr>
        <sz val="10"/>
        <rFont val="바탕"/>
        <family val="1"/>
        <charset val="129"/>
      </rPr>
      <t xml:space="preserve">년  </t>
    </r>
    <r>
      <rPr>
        <sz val="10"/>
        <rFont val="Times New Roman"/>
        <family val="1"/>
      </rPr>
      <t>3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30</t>
    </r>
    <r>
      <rPr>
        <sz val="10"/>
        <rFont val="바탕"/>
        <family val="1"/>
        <charset val="129"/>
      </rPr>
      <t xml:space="preserve">일                    처분확정일 :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 </t>
    </r>
    <r>
      <rPr>
        <sz val="10"/>
        <rFont val="Times New Roman"/>
        <family val="1"/>
      </rPr>
      <t>3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30</t>
    </r>
    <r>
      <rPr>
        <sz val="10"/>
        <rFont val="바탕"/>
        <family val="1"/>
        <charset val="129"/>
      </rPr>
      <t>일</t>
    </r>
    <phoneticPr fontId="5" type="noConversion"/>
  </si>
  <si>
    <t>가.매출채권의 증가</t>
    <phoneticPr fontId="7" type="noConversion"/>
  </si>
  <si>
    <t>매출채권</t>
    <phoneticPr fontId="5" type="noConversion"/>
  </si>
  <si>
    <t>라.선납세금의 감소(증가)</t>
    <phoneticPr fontId="7" type="noConversion"/>
  </si>
  <si>
    <t>외환차손</t>
    <phoneticPr fontId="7" type="noConversion"/>
  </si>
  <si>
    <r>
      <rPr>
        <u/>
        <sz val="18"/>
        <rFont val="바탕체"/>
        <family val="1"/>
        <charset val="129"/>
      </rPr>
      <t>자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본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변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동</t>
    </r>
    <r>
      <rPr>
        <u/>
        <sz val="18"/>
        <rFont val="Times New Roman"/>
        <family val="1"/>
      </rPr>
      <t xml:space="preserve"> </t>
    </r>
    <r>
      <rPr>
        <u/>
        <sz val="18"/>
        <rFont val="바탕체"/>
        <family val="1"/>
        <charset val="129"/>
      </rPr>
      <t>표</t>
    </r>
    <phoneticPr fontId="5" type="noConversion"/>
  </si>
  <si>
    <r>
      <t xml:space="preserve"> 제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 기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</t>
    </r>
    <r>
      <rPr>
        <sz val="10"/>
        <rFont val="Times New Roman"/>
        <family val="1"/>
      </rPr>
      <t>2010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일까지</t>
    </r>
    <phoneticPr fontId="7" type="noConversion"/>
  </si>
  <si>
    <r>
      <t>(</t>
    </r>
    <r>
      <rPr>
        <sz val="10"/>
        <rFont val="바탕"/>
        <family val="1"/>
        <charset val="129"/>
      </rPr>
      <t>단위</t>
    </r>
    <r>
      <rPr>
        <sz val="10"/>
        <rFont val="Times New Roman"/>
        <family val="1"/>
      </rPr>
      <t xml:space="preserve"> : </t>
    </r>
    <r>
      <rPr>
        <sz val="10"/>
        <rFont val="바탕"/>
        <family val="1"/>
        <charset val="129"/>
      </rPr>
      <t>원</t>
    </r>
    <r>
      <rPr>
        <sz val="10"/>
        <rFont val="Times New Roman"/>
        <family val="1"/>
      </rPr>
      <t>)</t>
    </r>
    <phoneticPr fontId="5" type="noConversion"/>
  </si>
  <si>
    <t>출연금</t>
    <phoneticPr fontId="5" type="noConversion"/>
  </si>
  <si>
    <t>기타포괄손익</t>
    <phoneticPr fontId="5" type="noConversion"/>
  </si>
  <si>
    <t>이익잉여금</t>
    <phoneticPr fontId="5" type="noConversion"/>
  </si>
  <si>
    <t>총 계</t>
    <phoneticPr fontId="5" type="noConversion"/>
  </si>
  <si>
    <t>I.</t>
    <phoneticPr fontId="5" type="noConversion"/>
  </si>
  <si>
    <t>출연</t>
  </si>
  <si>
    <t>매도가능증권의 처분</t>
  </si>
  <si>
    <t>II.</t>
    <phoneticPr fontId="5" type="noConversion"/>
  </si>
  <si>
    <t>III.</t>
    <phoneticPr fontId="5" type="noConversion"/>
  </si>
  <si>
    <t>1.</t>
    <phoneticPr fontId="5" type="noConversion"/>
  </si>
  <si>
    <t>당기순이익</t>
    <phoneticPr fontId="5" type="noConversion"/>
  </si>
  <si>
    <t>출연</t>
    <phoneticPr fontId="7" type="noConversion"/>
  </si>
  <si>
    <t>매도가능증권의 처분</t>
    <phoneticPr fontId="7" type="noConversion"/>
  </si>
  <si>
    <t>매도가능증권평가이익</t>
    <phoneticPr fontId="5" type="noConversion"/>
  </si>
  <si>
    <t>IV.</t>
    <phoneticPr fontId="5" type="noConversion"/>
  </si>
  <si>
    <t>별첨 재무제표에 대한 주석은 본 재무제표의 일부입니다.</t>
    <phoneticPr fontId="5" type="noConversion"/>
  </si>
  <si>
    <t>1.사업별 손익계산서</t>
    <phoneticPr fontId="7" type="noConversion"/>
  </si>
  <si>
    <t>목적사업</t>
    <phoneticPr fontId="7" type="noConversion"/>
  </si>
  <si>
    <t>수익사업</t>
    <phoneticPr fontId="7" type="noConversion"/>
  </si>
  <si>
    <t>사업수익</t>
    <phoneticPr fontId="7" type="noConversion"/>
  </si>
  <si>
    <t>이자수입</t>
  </si>
  <si>
    <t>행사협찬</t>
  </si>
  <si>
    <t>사업이자수입</t>
    <phoneticPr fontId="137" type="noConversion"/>
  </si>
  <si>
    <t>기타수입</t>
  </si>
  <si>
    <t>기부금</t>
    <phoneticPr fontId="110" type="noConversion"/>
  </si>
  <si>
    <t>기업지정기부금</t>
    <phoneticPr fontId="110" type="noConversion"/>
  </si>
  <si>
    <t>수입임대료</t>
  </si>
  <si>
    <t>사업운영비</t>
    <phoneticPr fontId="7" type="noConversion"/>
  </si>
  <si>
    <t>배분사업비</t>
    <phoneticPr fontId="7" type="noConversion"/>
  </si>
  <si>
    <t>모금사업비</t>
    <phoneticPr fontId="7" type="noConversion"/>
  </si>
  <si>
    <t>홍보사업비</t>
    <phoneticPr fontId="7" type="noConversion"/>
  </si>
  <si>
    <t>경상비</t>
    <phoneticPr fontId="7" type="noConversion"/>
  </si>
  <si>
    <t>사업이익</t>
    <phoneticPr fontId="7" type="noConversion"/>
  </si>
  <si>
    <t>IV.</t>
    <phoneticPr fontId="5" type="noConversion"/>
  </si>
  <si>
    <t>영업외손익</t>
    <phoneticPr fontId="137" type="noConversion"/>
  </si>
  <si>
    <t>당기순이익</t>
    <phoneticPr fontId="5" type="noConversion"/>
  </si>
  <si>
    <r>
      <rPr>
        <sz val="10"/>
        <rFont val="바탕"/>
        <family val="1"/>
        <charset val="129"/>
      </rPr>
      <t>별첨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재무제표에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대한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주석은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본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재무제표의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일부입니다</t>
    </r>
    <r>
      <rPr>
        <sz val="10"/>
        <rFont val="Times New Roman"/>
        <family val="1"/>
      </rPr>
      <t>.</t>
    </r>
    <phoneticPr fontId="5" type="noConversion"/>
  </si>
  <si>
    <t>2.배분사업비 명세서</t>
    <phoneticPr fontId="7" type="noConversion"/>
  </si>
  <si>
    <t>(단위:원)</t>
  </si>
  <si>
    <t>구       분</t>
    <phoneticPr fontId="164" type="noConversion"/>
  </si>
  <si>
    <r>
      <rPr>
        <sz val="11"/>
        <rFont val="바탕체"/>
        <family val="1"/>
        <charset val="129"/>
      </rPr>
      <t>집</t>
    </r>
    <r>
      <rPr>
        <sz val="11"/>
        <rFont val="Times New Roman"/>
        <family val="1"/>
      </rPr>
      <t xml:space="preserve"> </t>
    </r>
    <r>
      <rPr>
        <sz val="11"/>
        <rFont val="바탕체"/>
        <family val="1"/>
        <charset val="129"/>
      </rPr>
      <t>행</t>
    </r>
    <r>
      <rPr>
        <sz val="11"/>
        <rFont val="Times New Roman"/>
        <family val="1"/>
      </rPr>
      <t xml:space="preserve"> </t>
    </r>
    <r>
      <rPr>
        <sz val="11"/>
        <rFont val="바탕체"/>
        <family val="1"/>
        <charset val="129"/>
      </rPr>
      <t>액</t>
    </r>
  </si>
  <si>
    <t>비    고</t>
  </si>
  <si>
    <t>배분사업비</t>
    <phoneticPr fontId="165" type="noConversion"/>
  </si>
  <si>
    <r>
      <rPr>
        <sz val="11"/>
        <rFont val="바탕체"/>
        <family val="1"/>
        <charset val="129"/>
      </rPr>
      <t>합</t>
    </r>
    <r>
      <rPr>
        <sz val="11"/>
        <rFont val="Times New Roman"/>
        <family val="1"/>
      </rPr>
      <t xml:space="preserve">        </t>
    </r>
    <r>
      <rPr>
        <sz val="11"/>
        <rFont val="바탕체"/>
        <family val="1"/>
        <charset val="129"/>
      </rPr>
      <t>계</t>
    </r>
    <phoneticPr fontId="165" type="noConversion"/>
  </si>
  <si>
    <t>3.모금사업비 명세서</t>
    <phoneticPr fontId="7" type="noConversion"/>
  </si>
  <si>
    <t>모금사업비</t>
    <phoneticPr fontId="165" type="noConversion"/>
  </si>
  <si>
    <t>모금행사비</t>
    <phoneticPr fontId="137" type="noConversion"/>
  </si>
  <si>
    <t>일반모금비</t>
    <phoneticPr fontId="137" type="noConversion"/>
  </si>
  <si>
    <t>네트웍활동비</t>
    <phoneticPr fontId="137" type="noConversion"/>
  </si>
  <si>
    <t>4.홍보사업비 명세서</t>
    <phoneticPr fontId="7" type="noConversion"/>
  </si>
  <si>
    <t>홍보사업비</t>
    <phoneticPr fontId="165" type="noConversion"/>
  </si>
  <si>
    <t>출판인쇄비</t>
    <phoneticPr fontId="137" type="noConversion"/>
  </si>
  <si>
    <t>웹홍보비</t>
    <phoneticPr fontId="137" type="noConversion"/>
  </si>
  <si>
    <t>홍보물제작비</t>
    <phoneticPr fontId="137" type="noConversion"/>
  </si>
  <si>
    <t>홍보관리비</t>
    <phoneticPr fontId="137" type="noConversion"/>
  </si>
  <si>
    <t>5.경상비 명세서</t>
    <phoneticPr fontId="7" type="noConversion"/>
  </si>
  <si>
    <r>
      <t>경</t>
    </r>
    <r>
      <rPr>
        <sz val="11"/>
        <color theme="1"/>
        <rFont val="맑은 고딕"/>
        <family val="2"/>
        <charset val="129"/>
        <scheme val="minor"/>
      </rPr>
      <t xml:space="preserve">    </t>
    </r>
    <r>
      <rPr>
        <sz val="11"/>
        <rFont val="바탕체"/>
        <family val="1"/>
        <charset val="129"/>
      </rPr>
      <t>상</t>
    </r>
    <r>
      <rPr>
        <sz val="11"/>
        <color theme="1"/>
        <rFont val="맑은 고딕"/>
        <family val="2"/>
        <charset val="129"/>
        <scheme val="minor"/>
      </rPr>
      <t xml:space="preserve">    </t>
    </r>
    <r>
      <rPr>
        <sz val="11"/>
        <rFont val="바탕체"/>
        <family val="1"/>
        <charset val="129"/>
      </rPr>
      <t>비</t>
    </r>
    <r>
      <rPr>
        <sz val="11"/>
        <color theme="1"/>
        <rFont val="맑은 고딕"/>
        <family val="2"/>
        <charset val="129"/>
        <scheme val="minor"/>
      </rPr>
      <t xml:space="preserve"> </t>
    </r>
    <phoneticPr fontId="165" type="noConversion"/>
  </si>
  <si>
    <t>급여</t>
    <phoneticPr fontId="137" type="noConversion"/>
  </si>
  <si>
    <t>사회보험부담금</t>
    <phoneticPr fontId="137" type="noConversion"/>
  </si>
  <si>
    <t>일용잡급</t>
    <phoneticPr fontId="137" type="noConversion"/>
  </si>
  <si>
    <t>회의비</t>
    <phoneticPr fontId="137" type="noConversion"/>
  </si>
  <si>
    <t>기관운영비</t>
    <phoneticPr fontId="137" type="noConversion"/>
  </si>
  <si>
    <t>직책보조비</t>
    <phoneticPr fontId="137" type="noConversion"/>
  </si>
  <si>
    <t>대외협력비</t>
    <phoneticPr fontId="137" type="noConversion"/>
  </si>
  <si>
    <t>복리후생비</t>
    <phoneticPr fontId="137" type="noConversion"/>
  </si>
  <si>
    <t>교육훈련비</t>
    <phoneticPr fontId="137" type="noConversion"/>
  </si>
  <si>
    <t>여비교통비</t>
    <phoneticPr fontId="137" type="noConversion"/>
  </si>
  <si>
    <t>세금과공과</t>
    <phoneticPr fontId="137" type="noConversion"/>
  </si>
  <si>
    <t>보험료</t>
    <phoneticPr fontId="137" type="noConversion"/>
  </si>
  <si>
    <t>수도광열비</t>
    <phoneticPr fontId="137" type="noConversion"/>
  </si>
  <si>
    <t>통신비</t>
    <phoneticPr fontId="137" type="noConversion"/>
  </si>
  <si>
    <t>운.발송비</t>
    <phoneticPr fontId="137" type="noConversion"/>
  </si>
  <si>
    <t>수수료비용</t>
    <phoneticPr fontId="137" type="noConversion"/>
  </si>
  <si>
    <t>도서인쇄비</t>
    <phoneticPr fontId="137" type="noConversion"/>
  </si>
  <si>
    <t>사무용품비</t>
    <phoneticPr fontId="137" type="noConversion"/>
  </si>
  <si>
    <t>수선비</t>
    <phoneticPr fontId="137" type="noConversion"/>
  </si>
  <si>
    <t>기타경상비</t>
    <phoneticPr fontId="137" type="noConversion"/>
  </si>
  <si>
    <t>감가상각비</t>
    <phoneticPr fontId="137" type="noConversion"/>
  </si>
  <si>
    <t>자산취득비</t>
    <phoneticPr fontId="137" type="noConversion"/>
  </si>
  <si>
    <t>시설장비유지비</t>
    <phoneticPr fontId="137" type="noConversion"/>
  </si>
  <si>
    <t>잡지출</t>
    <phoneticPr fontId="137" type="noConversion"/>
  </si>
  <si>
    <t>퇴직급여</t>
    <phoneticPr fontId="137" type="noConversion"/>
  </si>
  <si>
    <r>
      <rPr>
        <sz val="11"/>
        <rFont val="바탕체"/>
        <family val="1"/>
        <charset val="129"/>
      </rPr>
      <t>합</t>
    </r>
    <r>
      <rPr>
        <sz val="11"/>
        <rFont val="Times New Roman"/>
        <family val="1"/>
      </rPr>
      <t xml:space="preserve">        </t>
    </r>
    <r>
      <rPr>
        <sz val="11"/>
        <rFont val="바탕체"/>
        <family val="1"/>
        <charset val="129"/>
      </rPr>
      <t>계</t>
    </r>
    <phoneticPr fontId="165" type="noConversion"/>
  </si>
  <si>
    <t>제 12 기 (전기초)</t>
    <phoneticPr fontId="3" type="noConversion"/>
  </si>
  <si>
    <t>제 12 기 (전기말)</t>
    <phoneticPr fontId="3" type="noConversion"/>
  </si>
  <si>
    <r>
      <t xml:space="preserve">제 </t>
    </r>
    <r>
      <rPr>
        <sz val="10"/>
        <rFont val="Times New Roman"/>
        <family val="1"/>
      </rPr>
      <t>13</t>
    </r>
    <r>
      <rPr>
        <sz val="10"/>
        <rFont val="바탕"/>
        <family val="1"/>
        <charset val="129"/>
      </rPr>
      <t xml:space="preserve"> 기 (당기초)</t>
    </r>
    <phoneticPr fontId="5" type="noConversion"/>
  </si>
  <si>
    <r>
      <t xml:space="preserve">제 </t>
    </r>
    <r>
      <rPr>
        <sz val="10"/>
        <rFont val="Times New Roman"/>
        <family val="1"/>
      </rPr>
      <t>13</t>
    </r>
    <r>
      <rPr>
        <sz val="10"/>
        <rFont val="바탕"/>
        <family val="1"/>
        <charset val="129"/>
      </rPr>
      <t xml:space="preserve"> 기 (당기말)</t>
    </r>
    <phoneticPr fontId="5" type="noConversion"/>
  </si>
  <si>
    <r>
      <t xml:space="preserve"> 제 </t>
    </r>
    <r>
      <rPr>
        <sz val="10"/>
        <rFont val="Times New Roman"/>
        <family val="1"/>
      </rPr>
      <t>13</t>
    </r>
    <r>
      <rPr>
        <sz val="10"/>
        <rFont val="바탕"/>
        <family val="1"/>
        <charset val="129"/>
      </rPr>
      <t xml:space="preserve"> 기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1</t>
    </r>
    <r>
      <rPr>
        <sz val="10"/>
        <rFont val="바탕"/>
        <family val="1"/>
        <charset val="129"/>
      </rPr>
      <t xml:space="preserve">일부터 </t>
    </r>
    <r>
      <rPr>
        <sz val="10"/>
        <rFont val="Times New Roman"/>
        <family val="1"/>
      </rPr>
      <t>2011</t>
    </r>
    <r>
      <rPr>
        <sz val="10"/>
        <rFont val="바탕"/>
        <family val="1"/>
        <charset val="129"/>
      </rPr>
      <t xml:space="preserve">년 </t>
    </r>
    <r>
      <rPr>
        <sz val="10"/>
        <rFont val="Times New Roman"/>
        <family val="1"/>
      </rPr>
      <t>12</t>
    </r>
    <r>
      <rPr>
        <sz val="10"/>
        <rFont val="바탕"/>
        <family val="1"/>
        <charset val="129"/>
      </rPr>
      <t xml:space="preserve">월 </t>
    </r>
    <r>
      <rPr>
        <sz val="10"/>
        <rFont val="Times New Roman"/>
        <family val="1"/>
      </rPr>
      <t>31</t>
    </r>
    <r>
      <rPr>
        <sz val="10"/>
        <rFont val="바탕"/>
        <family val="1"/>
        <charset val="129"/>
      </rPr>
      <t>일까지</t>
    </r>
    <phoneticPr fontId="7" type="noConversion"/>
  </si>
</sst>
</file>

<file path=xl/styles.xml><?xml version="1.0" encoding="utf-8"?>
<styleSheet xmlns="http://schemas.openxmlformats.org/spreadsheetml/2006/main">
  <numFmts count="71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;[Red]\(\-\)\ #,##0"/>
    <numFmt numFmtId="177" formatCode="_-* #,##0.00_-;\-* #,##0.00_-;_-* &quot;-&quot;_-;_-@_-"/>
    <numFmt numFmtId="178" formatCode="#&quot;년&quot;"/>
    <numFmt numFmtId="179" formatCode="#,###.####"/>
    <numFmt numFmtId="180" formatCode="_-* #,##0_-;\(\-\)#,##0_-;_-* &quot;-&quot;_-;_-@_-"/>
    <numFmt numFmtId="181" formatCode="#,###,###&quot;주&quot;"/>
    <numFmt numFmtId="182" formatCode="0.0%"/>
    <numFmt numFmtId="183" formatCode="&quot;USD&quot;* #,##0.00_-;\-* #,##0.00_-;_-* &quot;-&quot;_-;_-@_-"/>
    <numFmt numFmtId="184" formatCode="&quot;EUR&quot;* #,##0.00_-;\-* #,##0.00_-;_-* &quot;-&quot;_-;_-@_-"/>
    <numFmt numFmtId="185" formatCode="&quot;JP￥&quot;* #,##0_-;\-* #,##0_-;_-* &quot;-&quot;_-;_-@_-"/>
    <numFmt numFmtId="186" formatCode="#,###_0;&quot;(&quot;&quot;-&quot;&quot;)&quot;#,###_0"/>
    <numFmt numFmtId="187" formatCode="&quot;(&quot;#,##0&quot;) &quot;;&quot;(&quot;&quot;-&quot;&quot;)&quot;&quot;(&quot;#,##0&quot;) &quot;"/>
    <numFmt numFmtId="188" formatCode="_-* #,##0_-;\-* #,##0_-;_-* &quot;-      &quot;_-;_-@_-"/>
    <numFmt numFmtId="189" formatCode="#,##0;[Red]\(\-\)\ \ #,##0"/>
    <numFmt numFmtId="190" formatCode="#,##0&quot; &quot;;&quot;(&quot;#,##0&quot;)&quot;;_-* &quot;-      &quot;_-"/>
    <numFmt numFmtId="191" formatCode="_ &quot;₩&quot;* #,##0.00_ ;_ &quot;₩&quot;* \-#,##0.00_ ;_ &quot;₩&quot;* &quot;-&quot;??_ ;_ @_ "/>
    <numFmt numFmtId="192" formatCode="00"/>
    <numFmt numFmtId="193" formatCode="_(&quot;$&quot;* #,##0_);_(&quot;$&quot;* \(#,##0\);_(&quot;$&quot;* &quot;-&quot;_);_(@_)"/>
    <numFmt numFmtId="194" formatCode="&quot; ￦&quot;#,##0_);&quot;(￦&quot;#,##0\);&quot; ￦&quot;\-_)"/>
    <numFmt numFmtId="195" formatCode="_-&quot;$&quot;* #,##0.00_-;\-&quot;$&quot;* #,##0.00_-;_-&quot;$&quot;* &quot;-&quot;??_-;_-@_-"/>
    <numFmt numFmtId="196" formatCode="_-&quot;$&quot;* #,##0_-;\-&quot;$&quot;* #,##0_-;_-&quot;$&quot;* &quot;-&quot;_-;_-@_-"/>
    <numFmt numFmtId="197" formatCode="_ &quot;₩&quot;* #,##0_ ;_ &quot;₩&quot;* \-#,##0_ ;_ &quot;₩&quot;* &quot;-&quot;_ ;_ @_ "/>
    <numFmt numFmtId="198" formatCode="_ * #,##0_ ;_ * \-#,##0_ ;_ * &quot;-&quot;_ ;_ @_ "/>
    <numFmt numFmtId="199" formatCode="_ * #,##0.00_ ;_ * \-#,##0.00_ ;_ * &quot;-&quot;??_ ;_ @_ "/>
    <numFmt numFmtId="200" formatCode="0.000_)"/>
    <numFmt numFmtId="201" formatCode="#,##0;\(#,##0\)"/>
    <numFmt numFmtId="202" formatCode="\$#.00"/>
    <numFmt numFmtId="203" formatCode="&quot;₩&quot;#,##0.0000000000;&quot;₩&quot;\-#,##0.0000000000"/>
    <numFmt numFmtId="204" formatCode="\$#,##0.0_);\(\$#,##0.0\)"/>
    <numFmt numFmtId="205" formatCode="_-[$€-2]* #,##0.00_-;\-[$€-2]* #,##0.00_-;_-[$€-2]* &quot;-&quot;??_-"/>
    <numFmt numFmtId="206" formatCode="#.00"/>
    <numFmt numFmtId="207" formatCode="0_);[Red]\(0\)"/>
    <numFmt numFmtId="208" formatCode="0.00_ "/>
    <numFmt numFmtId="209" formatCode="#,##0;&quot;(&quot;&quot;-&quot;&quot;)&quot;#,##0"/>
    <numFmt numFmtId="210" formatCode="%#.00"/>
    <numFmt numFmtId="211" formatCode="0%_);\(0%\)"/>
    <numFmt numFmtId="212" formatCode="_(* #,##0.0,_);_(* \(#,##0.0,\);_(* &quot;-&quot;_);_(@_)"/>
    <numFmt numFmtId="213" formatCode="#,##0_0;&quot;(&quot;#,##0&quot;)&quot;;&quot;-      &quot;"/>
    <numFmt numFmtId="214" formatCode="_(&quot;$&quot;* #,##0.00_);_(&quot;$&quot;* \(#,##0.00\);_(&quot;$&quot;* &quot;-&quot;??_);_(@_)"/>
    <numFmt numFmtId="215" formatCode="&quot;$&quot;#,##0\ ;\(&quot;$&quot;#,##0\)"/>
    <numFmt numFmtId="216" formatCode="#,###_0;[Red]&quot;(-)&quot;#,###_0;&quot;-&quot;_0;@_0"/>
    <numFmt numFmtId="217" formatCode="#,##0_0;[Red]\(\-\)#,##0_0;&quot;-&quot;_0"/>
    <numFmt numFmtId="218" formatCode="#&quot;배&quot;"/>
    <numFmt numFmtId="219" formatCode="#,###.00_0;[Red]&quot;(-)&quot;#,###.00_0;&quot;-&quot;_0;@_0"/>
    <numFmt numFmtId="220" formatCode="#,###.00000000_0;[Red]&quot;(-)&quot;#,###.00000000_0;&quot;-&quot;_0;@_0"/>
    <numFmt numFmtId="221" formatCode="&quot;FY&quot;\ #"/>
    <numFmt numFmtId="222" formatCode="#,###_0;[Red]&quot;(&quot;&quot;-&quot;&quot;)&quot;#,###_0;\ _-* &quot;-    &quot;_-;_-@_-"/>
    <numFmt numFmtId="223" formatCode="0.00%_0;[Red]\(\-\)0.00%_0;&quot;-&quot;_0\'@_0"/>
    <numFmt numFmtId="224" formatCode="&quot;누적한도액(&quot;0%&quot;)&quot;_0;[Red]\(\-\)0.00%_0;&quot;-&quot;_0\'@_0"/>
    <numFmt numFmtId="225" formatCode="0%_0;[Red]\(\-\)0%_0;&quot;-&quot;_0\'@_0"/>
    <numFmt numFmtId="226" formatCode="#,##0_);\(#,##0\)"/>
    <numFmt numFmtId="227" formatCode="m&quot;월&quot;\ d&quot;일&quot;;@"/>
    <numFmt numFmtId="228" formatCode="#,##0_);[Red]\(#,##0\);&quot;-&quot;_)"/>
    <numFmt numFmtId="229" formatCode="&quot;₩&quot;#,##0;&quot;₩&quot;&quot;₩&quot;\-#,##0"/>
    <numFmt numFmtId="230" formatCode="_ * #,##0_ ;_ * &quot;₩&quot;\-#,##0_ ;_ * &quot;-&quot;_ ;_ @_ "/>
    <numFmt numFmtId="231" formatCode="&quot;₩&quot;#,##0.00;&quot;₩&quot;&quot;₩&quot;\-#,##0.00"/>
    <numFmt numFmtId="232" formatCode="&quot;△&quot;#,##0;&quot;△&quot;#,##0"/>
    <numFmt numFmtId="233" formatCode="&quot;₩&quot;#,##0.00;[Red]&quot;₩&quot;\-#,##0.00"/>
    <numFmt numFmtId="234" formatCode="#,###;\(#,###\);\-"/>
    <numFmt numFmtId="235" formatCode="###,##0"/>
    <numFmt numFmtId="236" formatCode="[$¥-411]#,##0_);[Red]\([$¥-411]#,##0\)"/>
    <numFmt numFmtId="237" formatCode="#,##0_);[Red]\(#,##0\)"/>
    <numFmt numFmtId="238" formatCode="##,###"/>
    <numFmt numFmtId="239" formatCode="_(* #,##0_);_(* \(#,##0\);_(* &quot;-&quot;_);_(@_)"/>
    <numFmt numFmtId="240" formatCode="###,###"/>
    <numFmt numFmtId="241" formatCode="0.000_ "/>
    <numFmt numFmtId="242" formatCode="#,##0&quot;  &quot;;&quot;(&quot;#,##0&quot;) &quot;;_-* &quot;-      &quot;_-"/>
    <numFmt numFmtId="243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</numFmts>
  <fonts count="170">
    <font>
      <sz val="11"/>
      <color theme="1"/>
      <name val="맑은 고딕"/>
      <family val="2"/>
      <charset val="129"/>
      <scheme val="minor"/>
    </font>
    <font>
      <sz val="10"/>
      <color theme="1"/>
      <name val="나눔고딕"/>
      <family val="2"/>
      <charset val="129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8"/>
      <name val="돋움"/>
      <family val="3"/>
      <charset val="129"/>
    </font>
    <font>
      <sz val="10"/>
      <name val="Times New Roman"/>
      <family val="1"/>
    </font>
    <font>
      <sz val="8"/>
      <name val="굴림"/>
      <family val="3"/>
      <charset val="129"/>
    </font>
    <font>
      <sz val="10"/>
      <name val="Arial"/>
      <family val="2"/>
    </font>
    <font>
      <sz val="11"/>
      <name val="굴림"/>
      <family val="3"/>
      <charset val="129"/>
    </font>
    <font>
      <sz val="10"/>
      <color indexed="8"/>
      <name val="맑은 고딕"/>
      <family val="3"/>
      <charset val="129"/>
    </font>
    <font>
      <u/>
      <sz val="18"/>
      <name val="바탕체"/>
      <family val="1"/>
      <charset val="129"/>
    </font>
    <font>
      <u/>
      <sz val="18"/>
      <name val="Times New Roman"/>
      <family val="1"/>
    </font>
    <font>
      <sz val="9"/>
      <name val="Times New Roman"/>
      <family val="1"/>
    </font>
    <font>
      <sz val="10"/>
      <name val="바탕"/>
      <family val="1"/>
      <charset val="129"/>
    </font>
    <font>
      <u/>
      <sz val="18"/>
      <name val="바탕"/>
      <family val="1"/>
      <charset val="129"/>
    </font>
    <font>
      <sz val="22"/>
      <name val="Times New Roman"/>
      <family val="1"/>
    </font>
    <font>
      <sz val="11"/>
      <name val="돋움"/>
      <family val="3"/>
      <charset val="129"/>
    </font>
    <font>
      <sz val="18"/>
      <name val="Times New Roman"/>
      <family val="1"/>
    </font>
    <font>
      <u/>
      <sz val="10"/>
      <name val="Times New Roman"/>
      <family val="1"/>
    </font>
    <font>
      <sz val="10"/>
      <name val="바탕체"/>
      <family val="1"/>
      <charset val="129"/>
    </font>
    <font>
      <sz val="10"/>
      <name val="Book Antiqua"/>
      <family val="1"/>
    </font>
    <font>
      <sz val="9"/>
      <color indexed="8"/>
      <name val="돋움"/>
      <family val="3"/>
      <charset val="129"/>
    </font>
    <font>
      <sz val="11"/>
      <name val="Times New Roman"/>
      <family val="1"/>
    </font>
    <font>
      <sz val="11"/>
      <name val="Book Antiqua"/>
      <family val="1"/>
    </font>
    <font>
      <sz val="11"/>
      <name val="바탕"/>
      <family val="1"/>
      <charset val="129"/>
    </font>
    <font>
      <sz val="12"/>
      <color indexed="8"/>
      <name val="돋움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10"/>
      <color indexed="10"/>
      <name val="맑은 고딕"/>
      <family val="3"/>
      <charset val="129"/>
      <scheme val="major"/>
    </font>
    <font>
      <b/>
      <sz val="10"/>
      <color indexed="10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  <scheme val="major"/>
    </font>
    <font>
      <sz val="12"/>
      <name val="바탕체"/>
      <family val="1"/>
      <charset val="129"/>
    </font>
    <font>
      <u/>
      <sz val="8.4"/>
      <color indexed="12"/>
      <name val="Arial"/>
      <family val="2"/>
    </font>
    <font>
      <sz val="12"/>
      <name val="???"/>
      <family val="3"/>
    </font>
    <font>
      <sz val="12"/>
      <name val="톝꾄ⁿ?"/>
      <family val="3"/>
      <charset val="129"/>
    </font>
    <font>
      <sz val="10"/>
      <name val="Courier"/>
      <family val="3"/>
    </font>
    <font>
      <sz val="10"/>
      <name val="¸iA¶"/>
      <family val="3"/>
      <charset val="129"/>
    </font>
    <font>
      <sz val="12"/>
      <name val="¹UAAA¼"/>
      <family val="1"/>
      <charset val="129"/>
    </font>
    <font>
      <sz val="10"/>
      <color indexed="8"/>
      <name val="HY그래픽"/>
      <family val="1"/>
      <charset val="129"/>
    </font>
    <font>
      <sz val="10"/>
      <color indexed="9"/>
      <name val="HY그래픽"/>
      <family val="1"/>
      <charset val="129"/>
    </font>
    <font>
      <sz val="10"/>
      <color indexed="10"/>
      <name val="HY그래픽"/>
      <family val="1"/>
      <charset val="129"/>
    </font>
    <font>
      <b/>
      <sz val="10"/>
      <color indexed="52"/>
      <name val="HY그래픽"/>
      <family val="1"/>
      <charset val="129"/>
    </font>
    <font>
      <b/>
      <sz val="1"/>
      <color indexed="8"/>
      <name val="Courier"/>
      <family val="3"/>
    </font>
    <font>
      <sz val="10"/>
      <name val="돋움"/>
      <family val="3"/>
      <charset val="129"/>
    </font>
    <font>
      <sz val="10"/>
      <color indexed="20"/>
      <name val="HY그래픽"/>
      <family val="1"/>
      <charset val="129"/>
    </font>
    <font>
      <sz val="1"/>
      <color indexed="8"/>
      <name val="Courier"/>
      <family val="3"/>
    </font>
    <font>
      <u/>
      <sz val="8.5"/>
      <color indexed="36"/>
      <name val="돋움"/>
      <family val="3"/>
      <charset val="129"/>
    </font>
    <font>
      <sz val="14"/>
      <name val="뼻뮝"/>
      <family val="3"/>
      <charset val="129"/>
    </font>
    <font>
      <sz val="9"/>
      <name val="돋움"/>
      <family val="3"/>
      <charset val="129"/>
    </font>
    <font>
      <sz val="10"/>
      <name val="굴림"/>
      <family val="3"/>
      <charset val="129"/>
    </font>
    <font>
      <sz val="10"/>
      <color indexed="60"/>
      <name val="HY그래픽"/>
      <family val="1"/>
      <charset val="129"/>
    </font>
    <font>
      <sz val="12"/>
      <name val="뼻뮝"/>
      <family val="1"/>
      <charset val="129"/>
    </font>
    <font>
      <i/>
      <sz val="10"/>
      <color indexed="23"/>
      <name val="HY그래픽"/>
      <family val="1"/>
      <charset val="129"/>
    </font>
    <font>
      <b/>
      <sz val="10"/>
      <color indexed="9"/>
      <name val="HY그래픽"/>
      <family val="1"/>
      <charset val="129"/>
    </font>
    <font>
      <sz val="10"/>
      <name val="새굴림"/>
      <family val="1"/>
      <charset val="129"/>
    </font>
    <font>
      <sz val="10"/>
      <name val="명조"/>
      <family val="3"/>
      <charset val="129"/>
    </font>
    <font>
      <sz val="10"/>
      <color indexed="52"/>
      <name val="HY그래픽"/>
      <family val="1"/>
      <charset val="129"/>
    </font>
    <font>
      <b/>
      <sz val="10"/>
      <color indexed="8"/>
      <name val="HY그래픽"/>
      <family val="1"/>
      <charset val="129"/>
    </font>
    <font>
      <sz val="12"/>
      <name val="Times New Roman"/>
      <family val="1"/>
    </font>
    <font>
      <sz val="12"/>
      <name val="新細明體"/>
      <family val="1"/>
    </font>
    <font>
      <sz val="10"/>
      <color indexed="62"/>
      <name val="HY그래픽"/>
      <family val="1"/>
      <charset val="129"/>
    </font>
    <font>
      <b/>
      <sz val="15"/>
      <color indexed="56"/>
      <name val="HY그래픽"/>
      <family val="1"/>
      <charset val="129"/>
    </font>
    <font>
      <b/>
      <sz val="13"/>
      <color indexed="56"/>
      <name val="HY그래픽"/>
      <family val="1"/>
      <charset val="129"/>
    </font>
    <font>
      <b/>
      <sz val="11"/>
      <color indexed="56"/>
      <name val="HY그래픽"/>
      <family val="1"/>
      <charset val="129"/>
    </font>
    <font>
      <b/>
      <sz val="18"/>
      <color indexed="56"/>
      <name val="맑은 고딕"/>
      <family val="3"/>
      <charset val="129"/>
    </font>
    <font>
      <sz val="10"/>
      <color indexed="17"/>
      <name val="HY그래픽"/>
      <family val="1"/>
      <charset val="129"/>
    </font>
    <font>
      <sz val="10"/>
      <name val="MS Sans Serif"/>
      <family val="2"/>
    </font>
    <font>
      <b/>
      <sz val="10"/>
      <color indexed="63"/>
      <name val="HY그래픽"/>
      <family val="1"/>
      <charset val="129"/>
    </font>
    <font>
      <u/>
      <sz val="10"/>
      <color indexed="12"/>
      <name val="Courier"/>
      <family val="3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color theme="1"/>
      <name val="HY그래픽"/>
      <family val="1"/>
      <charset val="129"/>
    </font>
    <font>
      <sz val="11"/>
      <color indexed="8"/>
      <name val="ＭＳ Ｐゴシック"/>
      <family val="3"/>
      <charset val="129"/>
    </font>
    <font>
      <b/>
      <sz val="10"/>
      <name val="Helv"/>
      <family val="2"/>
    </font>
    <font>
      <sz val="11"/>
      <name val="Tms Rmn"/>
      <family val="1"/>
    </font>
    <font>
      <i/>
      <sz val="1"/>
      <color indexed="8"/>
      <name val="Courier"/>
      <family val="3"/>
    </font>
    <font>
      <u/>
      <sz val="7.5"/>
      <color indexed="36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name val="Tms Rmn"/>
      <family val="1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1"/>
      <name val="Helv"/>
      <family val="2"/>
    </font>
    <font>
      <sz val="12"/>
      <name val="굴림"/>
      <family val="3"/>
      <charset val="129"/>
    </font>
    <font>
      <sz val="12"/>
      <name val="Arial"/>
      <family val="2"/>
    </font>
    <font>
      <b/>
      <sz val="10"/>
      <color indexed="10"/>
      <name val="Arial"/>
      <family val="2"/>
    </font>
    <font>
      <sz val="11"/>
      <color indexed="12"/>
      <name val="Times New Roman"/>
      <family val="1"/>
    </font>
    <font>
      <sz val="12"/>
      <name val="±¼¸²A¼"/>
      <family val="3"/>
      <charset val="129"/>
    </font>
    <font>
      <sz val="10"/>
      <name val="¹ÙÅÁÃ¼"/>
      <family val="1"/>
      <charset val="129"/>
    </font>
    <font>
      <b/>
      <sz val="18"/>
      <name val="Arial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9"/>
      <name val="맑은 고딕"/>
      <family val="3"/>
      <charset val="129"/>
    </font>
    <font>
      <b/>
      <sz val="10"/>
      <name val="맑은 고딕"/>
      <family val="3"/>
      <charset val="129"/>
    </font>
    <font>
      <b/>
      <u/>
      <sz val="10"/>
      <name val="맑은 고딕"/>
      <family val="3"/>
      <charset val="129"/>
    </font>
    <font>
      <sz val="12"/>
      <name val="굴림체"/>
      <family val="3"/>
      <charset val="129"/>
    </font>
    <font>
      <sz val="10"/>
      <color theme="1"/>
      <name val="나눔고딕"/>
      <family val="3"/>
      <charset val="129"/>
    </font>
    <font>
      <sz val="8"/>
      <color theme="1"/>
      <name val="Times New Roman"/>
      <family val="1"/>
    </font>
    <font>
      <b/>
      <sz val="10"/>
      <color theme="1"/>
      <name val="맑은 고딕"/>
      <family val="3"/>
      <charset val="129"/>
      <scheme val="minor"/>
    </font>
    <font>
      <sz val="6"/>
      <name val="굴림체"/>
      <family val="3"/>
      <charset val="129"/>
    </font>
    <font>
      <sz val="10"/>
      <color indexed="48"/>
      <name val="맑은 고딕"/>
      <family val="3"/>
      <charset val="129"/>
      <scheme val="major"/>
    </font>
    <font>
      <b/>
      <sz val="10"/>
      <color indexed="48"/>
      <name val="맑은 고딕"/>
      <family val="3"/>
      <charset val="129"/>
      <scheme val="major"/>
    </font>
    <font>
      <sz val="8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u/>
      <sz val="1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indexed="1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Book Antiqua"/>
      <family val="1"/>
    </font>
    <font>
      <sz val="10"/>
      <color theme="1"/>
      <name val="맑은 고딕"/>
      <family val="2"/>
      <charset val="129"/>
      <scheme val="minor"/>
    </font>
    <font>
      <sz val="10"/>
      <color theme="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10"/>
      <color rgb="FFFF0000"/>
      <name val="Book Antiqua"/>
      <family val="1"/>
    </font>
    <font>
      <sz val="11"/>
      <color rgb="FFFF0000"/>
      <name val="맑은 고딕"/>
      <family val="3"/>
      <charset val="129"/>
    </font>
    <font>
      <sz val="11"/>
      <color rgb="FF0000CC"/>
      <name val="맑은 고딕"/>
      <family val="3"/>
      <charset val="129"/>
    </font>
    <font>
      <b/>
      <sz val="10"/>
      <color rgb="FF0000CC"/>
      <name val="맑은 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sz val="2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1"/>
      <color indexed="1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indexed="9"/>
      <name val="맑은 고딕"/>
      <family val="3"/>
      <charset val="129"/>
      <scheme val="minor"/>
    </font>
    <font>
      <sz val="9"/>
      <color indexed="9"/>
      <name val="굴림체"/>
      <family val="3"/>
      <charset val="129"/>
    </font>
    <font>
      <sz val="9"/>
      <color indexed="63"/>
      <name val="굴림체"/>
      <family val="3"/>
      <charset val="129"/>
    </font>
    <font>
      <sz val="8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name val="굴림체"/>
      <family val="3"/>
      <charset val="129"/>
    </font>
    <font>
      <b/>
      <sz val="11"/>
      <name val="굴림"/>
      <family val="3"/>
      <charset val="129"/>
    </font>
    <font>
      <sz val="11"/>
      <name val="맑은 고딕"/>
      <family val="2"/>
      <charset val="129"/>
      <scheme val="minor"/>
    </font>
    <font>
      <sz val="9"/>
      <name val="굴림체"/>
      <family val="3"/>
      <charset val="129"/>
    </font>
    <font>
      <sz val="9"/>
      <color theme="1"/>
      <name val="굴림체"/>
      <family val="3"/>
      <charset val="129"/>
    </font>
    <font>
      <b/>
      <sz val="9"/>
      <name val="굴림체"/>
      <family val="3"/>
      <charset val="129"/>
    </font>
    <font>
      <b/>
      <sz val="10"/>
      <color theme="4"/>
      <name val="맑은 고딕"/>
      <family val="3"/>
      <charset val="129"/>
      <scheme val="minor"/>
    </font>
    <font>
      <u val="singleAccounting"/>
      <sz val="10"/>
      <name val="맑은 고딕"/>
      <family val="3"/>
      <charset val="129"/>
      <scheme val="minor"/>
    </font>
    <font>
      <sz val="10"/>
      <name val="Tahoma"/>
      <family val="2"/>
    </font>
    <font>
      <sz val="10"/>
      <color theme="4"/>
      <name val="맑은 고딕"/>
      <family val="3"/>
      <charset val="129"/>
      <scheme val="minor"/>
    </font>
    <font>
      <sz val="11"/>
      <color theme="1"/>
      <name val="Arial"/>
      <family val="2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0"/>
      <color indexed="10"/>
      <name val="맑은 고딕"/>
      <family val="3"/>
      <charset val="129"/>
      <scheme val="minor"/>
    </font>
    <font>
      <sz val="10"/>
      <color indexed="9"/>
      <name val="맑은 고딕"/>
      <family val="3"/>
      <charset val="129"/>
      <scheme val="minor"/>
    </font>
    <font>
      <sz val="10"/>
      <color theme="0"/>
      <name val="Times New Roman"/>
      <family val="1"/>
    </font>
    <font>
      <sz val="9"/>
      <name val="바탕"/>
      <family val="1"/>
      <charset val="129"/>
    </font>
    <font>
      <sz val="10"/>
      <color theme="1"/>
      <name val="Times New Roman"/>
      <family val="1"/>
    </font>
    <font>
      <b/>
      <u/>
      <sz val="18"/>
      <name val="바탕체"/>
      <family val="1"/>
      <charset val="129"/>
    </font>
    <font>
      <sz val="11"/>
      <name val="바탕체"/>
      <family val="1"/>
      <charset val="129"/>
    </font>
    <font>
      <sz val="8"/>
      <name val="굴림체"/>
      <family val="3"/>
      <charset val="129"/>
    </font>
    <font>
      <b/>
      <sz val="18"/>
      <name val="바탕체"/>
      <family val="1"/>
      <charset val="129"/>
    </font>
    <font>
      <sz val="7"/>
      <name val="바탕체"/>
      <family val="1"/>
      <charset val="129"/>
    </font>
    <font>
      <sz val="8"/>
      <name val="바탕"/>
      <family val="1"/>
      <charset val="129"/>
    </font>
    <font>
      <sz val="9"/>
      <color indexed="8"/>
      <name val="굴림체"/>
      <family val="3"/>
      <charset val="129"/>
    </font>
    <font>
      <sz val="11"/>
      <color indexed="63"/>
      <name val="바탕체"/>
      <family val="1"/>
      <charset val="129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3"/>
      </left>
      <right style="hair">
        <color indexed="63"/>
      </right>
      <top style="medium">
        <color indexed="63"/>
      </top>
      <bottom style="hair">
        <color indexed="63"/>
      </bottom>
      <diagonal/>
    </border>
    <border>
      <left style="hair">
        <color indexed="63"/>
      </left>
      <right style="medium">
        <color indexed="63"/>
      </right>
      <top style="medium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/>
      <diagonal/>
    </border>
    <border>
      <left style="hair">
        <color indexed="63"/>
      </left>
      <right style="medium">
        <color indexed="63"/>
      </right>
      <top style="hair">
        <color indexed="63"/>
      </top>
      <bottom/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hair">
        <color indexed="63"/>
      </left>
      <right style="medium">
        <color indexed="63"/>
      </right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medium">
        <color indexed="63"/>
      </top>
      <bottom style="medium">
        <color indexed="63"/>
      </bottom>
      <diagonal/>
    </border>
    <border>
      <left style="hair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 style="hair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3"/>
      </left>
      <right/>
      <top style="medium">
        <color indexed="63"/>
      </top>
      <bottom style="hair">
        <color indexed="63"/>
      </bottom>
      <diagonal/>
    </border>
    <border>
      <left/>
      <right/>
      <top style="medium">
        <color indexed="63"/>
      </top>
      <bottom style="hair">
        <color indexed="63"/>
      </bottom>
      <diagonal/>
    </border>
    <border>
      <left/>
      <right style="hair">
        <color indexed="63"/>
      </right>
      <top style="medium">
        <color indexed="63"/>
      </top>
      <bottom style="hair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391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6" fillId="0" borderId="0"/>
    <xf numFmtId="0" fontId="8" fillId="0" borderId="0" applyFont="0" applyFill="0" applyBorder="0" applyAlignment="0" applyProtection="0"/>
    <xf numFmtId="0" fontId="9" fillId="0" borderId="0"/>
    <xf numFmtId="42" fontId="21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8" fillId="0" borderId="0" applyFont="0" applyFill="0" applyBorder="0" applyAlignment="0" applyProtection="0"/>
    <xf numFmtId="41" fontId="17" fillId="0" borderId="0"/>
    <xf numFmtId="0" fontId="20" fillId="0" borderId="0"/>
    <xf numFmtId="0" fontId="8" fillId="0" borderId="0"/>
    <xf numFmtId="41" fontId="17" fillId="0" borderId="0"/>
    <xf numFmtId="41" fontId="8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 applyNumberFormat="0" applyFill="0" applyBorder="0" applyAlignment="0" applyProtection="0">
      <alignment vertical="top"/>
      <protection locked="0"/>
    </xf>
    <xf numFmtId="10" fontId="37" fillId="0" borderId="0" applyFont="0" applyFill="0" applyBorder="0" applyAlignment="0" applyProtection="0"/>
    <xf numFmtId="0" fontId="37" fillId="0" borderId="0"/>
    <xf numFmtId="0" fontId="38" fillId="0" borderId="0"/>
    <xf numFmtId="37" fontId="39" fillId="0" borderId="0"/>
    <xf numFmtId="0" fontId="38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41" fontId="17" fillId="0" borderId="0"/>
    <xf numFmtId="0" fontId="40" fillId="0" borderId="39"/>
    <xf numFmtId="9" fontId="41" fillId="0" borderId="0" applyFont="0" applyFill="0" applyBorder="0" applyAlignment="0" applyProtection="0"/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23" borderId="40" applyNumberFormat="0" applyAlignment="0" applyProtection="0">
      <alignment vertical="center"/>
    </xf>
    <xf numFmtId="0" fontId="45" fillId="23" borderId="40" applyNumberFormat="0" applyAlignment="0" applyProtection="0">
      <alignment vertical="center"/>
    </xf>
    <xf numFmtId="0" fontId="35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2" fontId="41" fillId="0" borderId="4">
      <alignment horizontal="right"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9" fillId="0" borderId="0">
      <protection locked="0"/>
    </xf>
    <xf numFmtId="0" fontId="49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4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42" fillId="24" borderId="41" applyNumberFormat="0" applyFont="0" applyAlignment="0" applyProtection="0">
      <alignment vertical="center"/>
    </xf>
    <xf numFmtId="0" fontId="42" fillId="24" borderId="41" applyNumberFormat="0" applyFont="0" applyAlignment="0" applyProtection="0">
      <alignment vertical="center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0" borderId="0"/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26" borderId="42" applyNumberFormat="0" applyAlignment="0" applyProtection="0">
      <alignment vertical="center"/>
    </xf>
    <xf numFmtId="0" fontId="57" fillId="26" borderId="42" applyNumberFormat="0" applyAlignment="0" applyProtection="0">
      <alignment vertical="center"/>
    </xf>
    <xf numFmtId="0" fontId="35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53" fillId="0" borderId="0" applyFont="0" applyFill="0" applyBorder="0" applyAlignment="0" applyProtection="0">
      <alignment vertical="center"/>
    </xf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41" fontId="17" fillId="0" borderId="0" applyFont="0" applyFill="0" applyBorder="0" applyAlignment="0" applyProtection="0"/>
    <xf numFmtId="187" fontId="35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0" fontId="8" fillId="0" borderId="0"/>
    <xf numFmtId="0" fontId="59" fillId="0" borderId="39"/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1" fillId="0" borderId="44" applyNumberFormat="0" applyFill="0" applyAlignment="0" applyProtection="0">
      <alignment vertical="center"/>
    </xf>
    <xf numFmtId="0" fontId="61" fillId="0" borderId="44" applyNumberFormat="0" applyFill="0" applyAlignment="0" applyProtection="0">
      <alignment vertical="center"/>
    </xf>
    <xf numFmtId="194" fontId="62" fillId="0" borderId="0" applyFill="0" applyBorder="0" applyProtection="0">
      <alignment horizontal="right"/>
    </xf>
    <xf numFmtId="0" fontId="63" fillId="0" borderId="0"/>
    <xf numFmtId="0" fontId="64" fillId="10" borderId="40" applyNumberFormat="0" applyAlignment="0" applyProtection="0">
      <alignment vertical="center"/>
    </xf>
    <xf numFmtId="0" fontId="64" fillId="10" borderId="40" applyNumberFormat="0" applyAlignment="0" applyProtection="0">
      <alignment vertical="center"/>
    </xf>
    <xf numFmtId="4" fontId="49" fillId="0" borderId="0">
      <protection locked="0"/>
    </xf>
    <xf numFmtId="0" fontId="35" fillId="0" borderId="0">
      <protection locked="0"/>
    </xf>
    <xf numFmtId="0" fontId="65" fillId="0" borderId="45" applyNumberFormat="0" applyFill="0" applyAlignment="0" applyProtection="0">
      <alignment vertical="center"/>
    </xf>
    <xf numFmtId="0" fontId="65" fillId="0" borderId="45" applyNumberFormat="0" applyFill="0" applyAlignment="0" applyProtection="0">
      <alignment vertical="center"/>
    </xf>
    <xf numFmtId="0" fontId="66" fillId="0" borderId="46" applyNumberFormat="0" applyFill="0" applyAlignment="0" applyProtection="0">
      <alignment vertical="center"/>
    </xf>
    <xf numFmtId="0" fontId="66" fillId="0" borderId="46" applyNumberFormat="0" applyFill="0" applyAlignment="0" applyProtection="0">
      <alignment vertical="center"/>
    </xf>
    <xf numFmtId="0" fontId="67" fillId="0" borderId="47" applyNumberFormat="0" applyFill="0" applyAlignment="0" applyProtection="0">
      <alignment vertical="center"/>
    </xf>
    <xf numFmtId="0" fontId="67" fillId="0" borderId="4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35" fillId="0" borderId="0"/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0" fontId="70" fillId="0" borderId="0" applyFont="0" applyFill="0" applyBorder="0" applyAlignment="0" applyProtection="0"/>
    <xf numFmtId="43" fontId="38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71" fillId="23" borderId="48" applyNumberFormat="0" applyAlignment="0" applyProtection="0">
      <alignment vertical="center"/>
    </xf>
    <xf numFmtId="0" fontId="71" fillId="23" borderId="48" applyNumberFormat="0" applyAlignment="0" applyProtection="0">
      <alignment vertical="center"/>
    </xf>
    <xf numFmtId="41" fontId="17" fillId="0" borderId="0" applyFont="0" applyFill="0" applyBorder="0" applyAlignment="0" applyProtection="0"/>
    <xf numFmtId="0" fontId="35" fillId="0" borderId="0" applyFont="0" applyFill="0" applyBorder="0" applyAlignment="0" applyProtection="0"/>
    <xf numFmtId="195" fontId="38" fillId="0" borderId="0" applyFont="0" applyFill="0" applyBorder="0" applyAlignment="0" applyProtection="0"/>
    <xf numFmtId="196" fontId="38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35" fillId="0" borderId="0">
      <protection locked="0"/>
    </xf>
    <xf numFmtId="0" fontId="73" fillId="0" borderId="0">
      <alignment vertical="center"/>
    </xf>
    <xf numFmtId="0" fontId="8" fillId="0" borderId="0"/>
    <xf numFmtId="0" fontId="74" fillId="0" borderId="0">
      <alignment vertical="center"/>
    </xf>
    <xf numFmtId="0" fontId="17" fillId="0" borderId="0"/>
    <xf numFmtId="0" fontId="53" fillId="0" borderId="0">
      <alignment vertical="center"/>
    </xf>
    <xf numFmtId="0" fontId="17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17" fillId="0" borderId="0"/>
    <xf numFmtId="0" fontId="35" fillId="0" borderId="0"/>
    <xf numFmtId="0" fontId="10" fillId="0" borderId="0">
      <alignment vertical="center"/>
    </xf>
    <xf numFmtId="0" fontId="10" fillId="0" borderId="0">
      <alignment vertical="center"/>
    </xf>
    <xf numFmtId="0" fontId="75" fillId="0" borderId="0">
      <alignment vertical="center"/>
    </xf>
    <xf numFmtId="0" fontId="76" fillId="0" borderId="0"/>
    <xf numFmtId="0" fontId="49" fillId="0" borderId="49">
      <protection locked="0"/>
    </xf>
    <xf numFmtId="196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17" fillId="0" borderId="0" applyFont="0" applyFill="0" applyBorder="0" applyAlignment="0" applyProtection="0"/>
    <xf numFmtId="3" fontId="20" fillId="0" borderId="0"/>
    <xf numFmtId="197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198" fontId="41" fillId="0" borderId="0" applyFont="0" applyFill="0" applyBorder="0" applyAlignment="0" applyProtection="0"/>
    <xf numFmtId="199" fontId="41" fillId="0" borderId="0" applyFont="0" applyFill="0" applyBorder="0" applyAlignment="0" applyProtection="0"/>
    <xf numFmtId="0" fontId="17" fillId="0" borderId="0" applyFill="0" applyBorder="0" applyAlignment="0"/>
    <xf numFmtId="0" fontId="77" fillId="0" borderId="0"/>
    <xf numFmtId="4" fontId="49" fillId="0" borderId="0">
      <protection locked="0"/>
    </xf>
    <xf numFmtId="200" fontId="78" fillId="0" borderId="0"/>
    <xf numFmtId="200" fontId="78" fillId="0" borderId="0"/>
    <xf numFmtId="200" fontId="78" fillId="0" borderId="0"/>
    <xf numFmtId="200" fontId="78" fillId="0" borderId="0"/>
    <xf numFmtId="200" fontId="78" fillId="0" borderId="0"/>
    <xf numFmtId="200" fontId="78" fillId="0" borderId="0"/>
    <xf numFmtId="200" fontId="78" fillId="0" borderId="0"/>
    <xf numFmtId="200" fontId="78" fillId="0" borderId="0"/>
    <xf numFmtId="201" fontId="6" fillId="0" borderId="0"/>
    <xf numFmtId="202" fontId="49" fillId="0" borderId="0">
      <protection locked="0"/>
    </xf>
    <xf numFmtId="203" fontId="17" fillId="0" borderId="0"/>
    <xf numFmtId="15" fontId="6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4" fontId="17" fillId="0" borderId="0"/>
    <xf numFmtId="205" fontId="17" fillId="0" borderId="0" applyFont="0" applyFill="0" applyBorder="0" applyAlignment="0" applyProtection="0"/>
    <xf numFmtId="0" fontId="49" fillId="0" borderId="0">
      <protection locked="0"/>
    </xf>
    <xf numFmtId="0" fontId="49" fillId="0" borderId="0">
      <protection locked="0"/>
    </xf>
    <xf numFmtId="0" fontId="7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79" fillId="0" borderId="0">
      <protection locked="0"/>
    </xf>
    <xf numFmtId="206" fontId="4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38" fontId="81" fillId="4" borderId="0" applyNumberFormat="0" applyBorder="0" applyAlignment="0" applyProtection="0"/>
    <xf numFmtId="0" fontId="82" fillId="0" borderId="0">
      <alignment horizontal="left"/>
    </xf>
    <xf numFmtId="0" fontId="83" fillId="0" borderId="27" applyNumberFormat="0" applyAlignment="0" applyProtection="0">
      <alignment horizontal="left" vertical="center"/>
    </xf>
    <xf numFmtId="0" fontId="83" fillId="0" borderId="2">
      <alignment horizontal="left" vertical="center"/>
    </xf>
    <xf numFmtId="14" fontId="84" fillId="27" borderId="36">
      <alignment horizontal="center" vertical="center" wrapText="1"/>
    </xf>
    <xf numFmtId="0" fontId="85" fillId="0" borderId="0"/>
    <xf numFmtId="0" fontId="84" fillId="0" borderId="0" applyNumberFormat="0" applyFill="0"/>
    <xf numFmtId="0" fontId="86" fillId="0" borderId="2" applyNumberFormat="0">
      <alignment horizontal="right" wrapText="1"/>
    </xf>
    <xf numFmtId="0" fontId="46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10" fontId="81" fillId="28" borderId="4" applyNumberFormat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8" fillId="0" borderId="36"/>
    <xf numFmtId="207" fontId="89" fillId="0" borderId="0" applyFont="0" applyFill="0" applyBorder="0" applyAlignment="0" applyProtection="0"/>
    <xf numFmtId="208" fontId="89" fillId="0" borderId="0" applyFont="0" applyFill="0" applyBorder="0" applyAlignment="0" applyProtection="0"/>
    <xf numFmtId="193" fontId="8" fillId="0" borderId="0"/>
    <xf numFmtId="209" fontId="12" fillId="0" borderId="0" applyFont="0" applyFill="0" applyBorder="0" applyAlignment="0" applyProtection="0">
      <alignment horizontal="centerContinuous"/>
    </xf>
    <xf numFmtId="0" fontId="6" fillId="0" borderId="0" applyFont="0" applyFill="0" applyBorder="0" applyAlignment="0" applyProtection="0">
      <alignment horizontal="centerContinuous"/>
    </xf>
    <xf numFmtId="0" fontId="8" fillId="0" borderId="0"/>
    <xf numFmtId="210" fontId="49" fillId="0" borderId="0">
      <protection locked="0"/>
    </xf>
    <xf numFmtId="211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29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8" fillId="0" borderId="0"/>
    <xf numFmtId="212" fontId="8" fillId="0" borderId="0" applyFont="0" applyFill="0" applyBorder="0" applyAlignment="0" applyProtection="0"/>
    <xf numFmtId="0" fontId="91" fillId="0" borderId="0" applyFill="0" applyBorder="0" applyProtection="0">
      <alignment horizontal="left" vertical="top"/>
    </xf>
    <xf numFmtId="0" fontId="49" fillId="0" borderId="10">
      <protection locked="0"/>
    </xf>
    <xf numFmtId="9" fontId="92" fillId="0" borderId="0" applyNumberFormat="0" applyFill="0" applyBorder="0" applyAlignment="0"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214" fontId="62" fillId="0" borderId="0" applyFont="0" applyFill="0" applyBorder="0" applyAlignment="0" applyProtection="0"/>
    <xf numFmtId="0" fontId="93" fillId="0" borderId="0"/>
    <xf numFmtId="0" fontId="94" fillId="0" borderId="0"/>
    <xf numFmtId="3" fontId="8" fillId="0" borderId="0" applyFont="0" applyFill="0" applyBorder="0" applyAlignment="0" applyProtection="0"/>
    <xf numFmtId="215" fontId="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30" fontId="96" fillId="0" borderId="0" applyNumberFormat="0" applyFill="0" applyBorder="0" applyAlignment="0" applyProtection="0">
      <alignment horizontal="left"/>
    </xf>
    <xf numFmtId="40" fontId="97" fillId="0" borderId="0" applyBorder="0">
      <alignment horizontal="right"/>
    </xf>
    <xf numFmtId="197" fontId="17" fillId="0" borderId="0" applyFont="0" applyFill="0" applyBorder="0" applyAlignment="0" applyProtection="0"/>
    <xf numFmtId="197" fontId="35" fillId="0" borderId="0" applyFont="0" applyFill="0" applyBorder="0" applyAlignment="0" applyProtection="0"/>
    <xf numFmtId="197" fontId="35" fillId="0" borderId="0" applyFont="0" applyFill="0" applyBorder="0" applyAlignment="0" applyProtection="0"/>
    <xf numFmtId="191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197" fontId="35" fillId="0" borderId="0" applyFont="0" applyFill="0" applyBorder="0" applyAlignment="0" applyProtection="0"/>
    <xf numFmtId="197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197" fontId="35" fillId="0" borderId="0" applyFont="0" applyFill="0" applyBorder="0" applyAlignment="0" applyProtection="0"/>
    <xf numFmtId="19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41" fontId="53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>
      <alignment vertical="center"/>
    </xf>
    <xf numFmtId="0" fontId="35" fillId="0" borderId="0" applyFont="0" applyFill="0" applyBorder="0" applyAlignment="0" applyProtection="0"/>
    <xf numFmtId="199" fontId="103" fillId="0" borderId="0" applyFont="0" applyFill="0" applyBorder="0" applyAlignment="0" applyProtection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4" fillId="0" borderId="0">
      <alignment vertical="center"/>
    </xf>
    <xf numFmtId="0" fontId="73" fillId="0" borderId="0">
      <alignment vertical="center"/>
    </xf>
    <xf numFmtId="0" fontId="105" fillId="0" borderId="0">
      <alignment vertical="center"/>
    </xf>
    <xf numFmtId="0" fontId="17" fillId="0" borderId="0">
      <alignment vertical="center"/>
    </xf>
    <xf numFmtId="0" fontId="106" fillId="0" borderId="0">
      <alignment vertical="center"/>
    </xf>
    <xf numFmtId="0" fontId="17" fillId="0" borderId="0">
      <alignment vertical="center"/>
    </xf>
    <xf numFmtId="0" fontId="107" fillId="0" borderId="0"/>
    <xf numFmtId="191" fontId="35" fillId="0" borderId="0" applyFont="0" applyFill="0" applyBorder="0" applyAlignment="0" applyProtection="0"/>
    <xf numFmtId="197" fontId="35" fillId="0" borderId="0" applyFont="0" applyFill="0" applyBorder="0" applyAlignment="0" applyProtection="0"/>
    <xf numFmtId="199" fontId="35" fillId="0" borderId="0" applyFont="0" applyFill="0" applyBorder="0" applyAlignment="0" applyProtection="0"/>
    <xf numFmtId="197" fontId="103" fillId="0" borderId="0" applyFont="0" applyFill="0" applyBorder="0" applyAlignment="0" applyProtection="0"/>
    <xf numFmtId="191" fontId="35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8" fillId="0" borderId="0"/>
    <xf numFmtId="41" fontId="17" fillId="0" borderId="0" applyFont="0" applyFill="0" applyBorder="0" applyAlignment="0" applyProtection="0">
      <alignment vertical="center"/>
    </xf>
    <xf numFmtId="0" fontId="8" fillId="0" borderId="0"/>
    <xf numFmtId="41" fontId="2" fillId="0" borderId="0" applyFont="0" applyFill="0" applyBorder="0" applyAlignment="0" applyProtection="0">
      <alignment vertical="center"/>
    </xf>
    <xf numFmtId="49" fontId="117" fillId="31" borderId="0">
      <alignment horizontal="center"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6" fillId="0" borderId="0">
      <alignment vertical="center"/>
    </xf>
    <xf numFmtId="0" fontId="118" fillId="0" borderId="0">
      <alignment vertical="center"/>
    </xf>
    <xf numFmtId="0" fontId="11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3" fillId="0" borderId="0">
      <alignment vertical="center"/>
    </xf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98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229" fontId="17" fillId="0" borderId="0" applyFont="0" applyFill="0" applyBorder="0" applyAlignment="0" applyProtection="0"/>
    <xf numFmtId="230" fontId="35" fillId="0" borderId="0" applyFont="0" applyFill="0" applyBorder="0" applyAlignment="0" applyProtection="0"/>
    <xf numFmtId="231" fontId="17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232" fontId="17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9" fontId="70" fillId="0" borderId="84" applyNumberFormat="0" applyBorder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55" fillId="0" borderId="0"/>
    <xf numFmtId="0" fontId="17" fillId="0" borderId="0" applyFont="0" applyFill="0" applyBorder="0" applyAlignment="0" applyProtection="0"/>
    <xf numFmtId="0" fontId="35" fillId="0" borderId="0" applyFont="0" applyFill="0" applyBorder="0" applyAlignment="0" applyProtection="0"/>
    <xf numFmtId="236" fontId="8" fillId="0" borderId="0">
      <alignment vertical="center"/>
    </xf>
    <xf numFmtId="236" fontId="17" fillId="0" borderId="0"/>
    <xf numFmtId="220" fontId="8" fillId="0" borderId="0" applyFont="0" applyFill="0" applyBorder="0" applyAlignment="0" applyProtection="0"/>
    <xf numFmtId="239" fontId="8" fillId="0" borderId="0"/>
    <xf numFmtId="236" fontId="149" fillId="0" borderId="0">
      <alignment vertical="center"/>
    </xf>
    <xf numFmtId="236" fontId="149" fillId="0" borderId="0">
      <alignment vertical="center"/>
    </xf>
    <xf numFmtId="236" fontId="17" fillId="0" borderId="0"/>
    <xf numFmtId="236" fontId="103" fillId="0" borderId="0"/>
    <xf numFmtId="236" fontId="17" fillId="0" borderId="0">
      <alignment vertical="center"/>
    </xf>
    <xf numFmtId="236" fontId="103" fillId="0" borderId="0"/>
    <xf numFmtId="41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241" fontId="73" fillId="0" borderId="0">
      <alignment vertical="center"/>
    </xf>
    <xf numFmtId="9" fontId="161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7" fillId="0" borderId="0"/>
    <xf numFmtId="0" fontId="163" fillId="0" borderId="0"/>
    <xf numFmtId="0" fontId="168" fillId="0" borderId="0"/>
  </cellStyleXfs>
  <cellXfs count="1363">
    <xf numFmtId="0" fontId="0" fillId="0" borderId="0" xfId="0">
      <alignment vertical="center"/>
    </xf>
    <xf numFmtId="186" fontId="6" fillId="0" borderId="0" xfId="4" applyNumberFormat="1" applyFont="1" applyBorder="1" applyAlignment="1">
      <alignment vertical="center"/>
    </xf>
    <xf numFmtId="3" fontId="6" fillId="0" borderId="13" xfId="0" applyNumberFormat="1" applyFont="1" applyBorder="1" applyAlignment="1">
      <alignment horizontal="right"/>
    </xf>
    <xf numFmtId="186" fontId="11" fillId="0" borderId="0" xfId="4" applyNumberFormat="1" applyFont="1" applyBorder="1" applyAlignment="1">
      <alignment horizontal="centerContinuous" vertical="center"/>
    </xf>
    <xf numFmtId="3" fontId="11" fillId="0" borderId="0" xfId="0" applyNumberFormat="1" applyFont="1" applyBorder="1" applyAlignment="1">
      <alignment horizontal="centerContinuous"/>
    </xf>
    <xf numFmtId="3" fontId="12" fillId="0" borderId="0" xfId="0" applyNumberFormat="1" applyFont="1" applyBorder="1" applyAlignment="1">
      <alignment horizontal="centerContinuous"/>
    </xf>
    <xf numFmtId="3" fontId="18" fillId="0" borderId="0" xfId="0" applyNumberFormat="1" applyFont="1" applyBorder="1" applyAlignment="1">
      <alignment horizontal="centerContinuous"/>
    </xf>
    <xf numFmtId="3" fontId="12" fillId="0" borderId="0" xfId="0" applyNumberFormat="1" applyFont="1" applyBorder="1" applyAlignment="1">
      <alignment horizontal="left"/>
    </xf>
    <xf numFmtId="3" fontId="6" fillId="0" borderId="0" xfId="0" quotePrefix="1" applyNumberFormat="1" applyFont="1" applyBorder="1" applyAlignment="1">
      <alignment horizontal="centerContinuous"/>
    </xf>
    <xf numFmtId="3" fontId="6" fillId="0" borderId="0" xfId="0" applyNumberFormat="1" applyFont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186" fontId="6" fillId="0" borderId="0" xfId="0" applyNumberFormat="1" applyFont="1" applyAlignment="1">
      <alignment horizontal="centerContinuous"/>
    </xf>
    <xf numFmtId="3" fontId="6" fillId="0" borderId="0" xfId="0" applyNumberFormat="1" applyFont="1" applyBorder="1" applyAlignment="1">
      <alignment horizontal="left"/>
    </xf>
    <xf numFmtId="3" fontId="19" fillId="0" borderId="0" xfId="0" applyNumberFormat="1" applyFont="1" applyBorder="1" applyAlignment="1">
      <alignment horizontal="centerContinuous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Alignment="1"/>
    <xf numFmtId="3" fontId="6" fillId="0" borderId="0" xfId="0" applyNumberFormat="1" applyFont="1" applyAlignment="1">
      <alignment horizontal="left"/>
    </xf>
    <xf numFmtId="186" fontId="6" fillId="0" borderId="0" xfId="0" applyNumberFormat="1" applyFont="1" applyAlignment="1">
      <alignment horizontal="right"/>
    </xf>
    <xf numFmtId="3" fontId="6" fillId="0" borderId="0" xfId="0" applyNumberFormat="1" applyFont="1" applyBorder="1" applyAlignment="1"/>
    <xf numFmtId="3" fontId="6" fillId="0" borderId="0" xfId="0" quotePrefix="1" applyNumberFormat="1" applyFont="1" applyAlignment="1">
      <alignment horizontal="left"/>
    </xf>
    <xf numFmtId="3" fontId="6" fillId="0" borderId="9" xfId="0" applyNumberFormat="1" applyFont="1" applyBorder="1" applyAlignment="1">
      <alignment horizontal="left"/>
    </xf>
    <xf numFmtId="3" fontId="6" fillId="0" borderId="9" xfId="0" applyNumberFormat="1" applyFont="1" applyBorder="1" applyAlignment="1">
      <alignment horizontal="right"/>
    </xf>
    <xf numFmtId="3" fontId="6" fillId="0" borderId="9" xfId="0" applyNumberFormat="1" applyFont="1" applyBorder="1" applyAlignment="1"/>
    <xf numFmtId="186" fontId="6" fillId="0" borderId="9" xfId="0" applyNumberFormat="1" applyFont="1" applyBorder="1" applyAlignment="1">
      <alignment horizontal="right"/>
    </xf>
    <xf numFmtId="3" fontId="6" fillId="0" borderId="4" xfId="3" applyNumberFormat="1" applyFont="1" applyBorder="1" applyAlignment="1">
      <alignment horizontal="centerContinuous" vertical="center"/>
    </xf>
    <xf numFmtId="3" fontId="14" fillId="0" borderId="1" xfId="3" applyNumberFormat="1" applyFont="1" applyBorder="1" applyAlignment="1">
      <alignment horizontal="right" vertical="center"/>
    </xf>
    <xf numFmtId="3" fontId="6" fillId="0" borderId="3" xfId="3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6" fillId="0" borderId="13" xfId="0" applyNumberFormat="1" applyFont="1" applyBorder="1" applyAlignment="1"/>
    <xf numFmtId="3" fontId="20" fillId="0" borderId="0" xfId="0" applyNumberFormat="1" applyFont="1" applyBorder="1" applyAlignment="1">
      <alignment horizontal="left"/>
    </xf>
    <xf numFmtId="3" fontId="6" fillId="0" borderId="14" xfId="0" quotePrefix="1" applyNumberFormat="1" applyFont="1" applyBorder="1" applyAlignment="1">
      <alignment horizontal="left"/>
    </xf>
    <xf numFmtId="3" fontId="6" fillId="0" borderId="14" xfId="0" applyNumberFormat="1" applyFont="1" applyBorder="1" applyAlignment="1">
      <alignment horizontal="left"/>
    </xf>
    <xf numFmtId="3" fontId="6" fillId="0" borderId="0" xfId="0" quotePrefix="1" applyNumberFormat="1" applyFont="1" applyBorder="1" applyAlignment="1">
      <alignment horizontal="left"/>
    </xf>
    <xf numFmtId="3" fontId="6" fillId="0" borderId="0" xfId="0" quotePrefix="1" applyNumberFormat="1" applyFont="1" applyBorder="1" applyAlignment="1">
      <alignment horizontal="right"/>
    </xf>
    <xf numFmtId="3" fontId="20" fillId="0" borderId="0" xfId="0" applyNumberFormat="1" applyFont="1" applyBorder="1" applyAlignment="1"/>
    <xf numFmtId="3" fontId="6" fillId="0" borderId="2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left"/>
    </xf>
    <xf numFmtId="0" fontId="6" fillId="0" borderId="23" xfId="0" applyFont="1" applyBorder="1" applyAlignment="1"/>
    <xf numFmtId="3" fontId="6" fillId="0" borderId="24" xfId="0" applyNumberFormat="1" applyFont="1" applyBorder="1" applyAlignment="1">
      <alignment horizontal="left"/>
    </xf>
    <xf numFmtId="3" fontId="20" fillId="0" borderId="0" xfId="0" quotePrefix="1" applyNumberFormat="1" applyFont="1" applyBorder="1" applyAlignment="1">
      <alignment horizontal="left"/>
    </xf>
    <xf numFmtId="3" fontId="6" fillId="0" borderId="13" xfId="0" applyNumberFormat="1" applyFont="1" applyBorder="1" applyAlignment="1">
      <alignment horizontal="left"/>
    </xf>
    <xf numFmtId="3" fontId="20" fillId="0" borderId="14" xfId="0" applyNumberFormat="1" applyFont="1" applyBorder="1" applyAlignment="1">
      <alignment horizontal="left"/>
    </xf>
    <xf numFmtId="3" fontId="6" fillId="0" borderId="0" xfId="0" quotePrefix="1" applyNumberFormat="1" applyFont="1" applyBorder="1" applyAlignment="1"/>
    <xf numFmtId="3" fontId="6" fillId="0" borderId="7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left"/>
    </xf>
    <xf numFmtId="3" fontId="6" fillId="0" borderId="0" xfId="0" applyNumberFormat="1" applyFont="1" applyBorder="1" applyAlignment="1">
      <alignment horizontal="right"/>
    </xf>
    <xf numFmtId="186" fontId="6" fillId="0" borderId="0" xfId="0" applyNumberFormat="1" applyFont="1" applyBorder="1" applyAlignment="1">
      <alignment horizontal="right"/>
    </xf>
    <xf numFmtId="186" fontId="6" fillId="0" borderId="0" xfId="0" quotePrefix="1" applyNumberFormat="1" applyFont="1" applyBorder="1" applyAlignment="1">
      <alignment horizontal="right"/>
    </xf>
    <xf numFmtId="3" fontId="23" fillId="0" borderId="0" xfId="0" applyNumberFormat="1" applyFont="1" applyBorder="1" applyAlignment="1">
      <alignment horizontal="centerContinuous"/>
    </xf>
    <xf numFmtId="3" fontId="20" fillId="0" borderId="1" xfId="3" applyNumberFormat="1" applyFont="1" applyBorder="1" applyAlignment="1">
      <alignment horizontal="right" vertical="center"/>
    </xf>
    <xf numFmtId="3" fontId="14" fillId="0" borderId="14" xfId="0" applyNumberFormat="1" applyFont="1" applyBorder="1" applyAlignment="1">
      <alignment horizontal="left"/>
    </xf>
    <xf numFmtId="3" fontId="6" fillId="0" borderId="13" xfId="0" quotePrefix="1" applyNumberFormat="1" applyFont="1" applyBorder="1" applyAlignment="1">
      <alignment horizontal="right"/>
    </xf>
    <xf numFmtId="3" fontId="6" fillId="0" borderId="7" xfId="0" applyNumberFormat="1" applyFont="1" applyBorder="1" applyAlignment="1">
      <alignment horizontal="left"/>
    </xf>
    <xf numFmtId="3" fontId="6" fillId="0" borderId="8" xfId="0" quotePrefix="1" applyNumberFormat="1" applyFont="1" applyBorder="1" applyAlignment="1">
      <alignment horizontal="left"/>
    </xf>
    <xf numFmtId="0" fontId="10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vertical="top"/>
    </xf>
    <xf numFmtId="41" fontId="10" fillId="0" borderId="0" xfId="1" applyFont="1" applyFill="1" applyBorder="1" applyAlignment="1">
      <alignment vertical="top"/>
    </xf>
    <xf numFmtId="0" fontId="10" fillId="0" borderId="0" xfId="0" applyNumberFormat="1" applyFont="1" applyFill="1" applyBorder="1" applyAlignment="1">
      <alignment horizontal="center" vertical="top"/>
    </xf>
    <xf numFmtId="10" fontId="10" fillId="0" borderId="0" xfId="2" applyNumberFormat="1" applyFont="1" applyFill="1" applyBorder="1" applyAlignment="1">
      <alignment vertical="top"/>
    </xf>
    <xf numFmtId="14" fontId="10" fillId="0" borderId="0" xfId="0" applyNumberFormat="1" applyFont="1" applyFill="1" applyBorder="1" applyAlignment="1">
      <alignment horizontal="center" vertical="top"/>
    </xf>
    <xf numFmtId="181" fontId="10" fillId="0" borderId="0" xfId="1" applyNumberFormat="1" applyFont="1" applyFill="1" applyBorder="1" applyAlignment="1">
      <alignment vertical="top"/>
    </xf>
    <xf numFmtId="0" fontId="10" fillId="0" borderId="0" xfId="0" applyNumberFormat="1" applyFont="1" applyFill="1" applyBorder="1" applyAlignment="1">
      <alignment horizontal="right" vertical="top"/>
    </xf>
    <xf numFmtId="41" fontId="10" fillId="0" borderId="0" xfId="1" applyFont="1" applyFill="1" applyBorder="1" applyAlignment="1">
      <alignment horizontal="right" vertical="top"/>
    </xf>
    <xf numFmtId="180" fontId="10" fillId="0" borderId="0" xfId="0" applyNumberFormat="1" applyFont="1" applyFill="1" applyBorder="1" applyAlignment="1">
      <alignment vertical="top"/>
    </xf>
    <xf numFmtId="183" fontId="10" fillId="0" borderId="0" xfId="0" applyNumberFormat="1" applyFont="1" applyFill="1" applyBorder="1" applyAlignment="1">
      <alignment vertical="top"/>
    </xf>
    <xf numFmtId="184" fontId="10" fillId="0" borderId="0" xfId="0" applyNumberFormat="1" applyFont="1" applyFill="1" applyBorder="1" applyAlignment="1">
      <alignment vertical="top"/>
    </xf>
    <xf numFmtId="185" fontId="10" fillId="0" borderId="0" xfId="0" applyNumberFormat="1" applyFont="1" applyFill="1" applyBorder="1" applyAlignment="1">
      <alignment vertical="top"/>
    </xf>
    <xf numFmtId="178" fontId="10" fillId="0" borderId="0" xfId="0" applyNumberFormat="1" applyFont="1" applyFill="1" applyBorder="1" applyAlignment="1">
      <alignment vertical="top"/>
    </xf>
    <xf numFmtId="41" fontId="4" fillId="0" borderId="0" xfId="1" applyFont="1" applyFill="1" applyBorder="1" applyAlignment="1">
      <alignment vertical="center"/>
    </xf>
    <xf numFmtId="9" fontId="10" fillId="0" borderId="0" xfId="2" applyNumberFormat="1" applyFont="1" applyFill="1" applyBorder="1" applyAlignment="1">
      <alignment vertical="top"/>
    </xf>
    <xf numFmtId="179" fontId="10" fillId="0" borderId="0" xfId="0" applyNumberFormat="1" applyFont="1" applyFill="1" applyBorder="1" applyAlignment="1">
      <alignment vertical="top"/>
    </xf>
    <xf numFmtId="180" fontId="10" fillId="0" borderId="0" xfId="1" applyNumberFormat="1" applyFont="1" applyFill="1" applyBorder="1" applyAlignment="1">
      <alignment vertical="top"/>
    </xf>
    <xf numFmtId="41" fontId="10" fillId="0" borderId="0" xfId="0" applyNumberFormat="1" applyFont="1" applyFill="1" applyBorder="1" applyAlignment="1">
      <alignment vertical="top"/>
    </xf>
    <xf numFmtId="182" fontId="10" fillId="0" borderId="0" xfId="2" applyNumberFormat="1" applyFont="1" applyFill="1" applyBorder="1" applyAlignment="1">
      <alignment vertical="top"/>
    </xf>
    <xf numFmtId="180" fontId="4" fillId="0" borderId="0" xfId="0" applyNumberFormat="1" applyFont="1" applyFill="1" applyBorder="1" applyAlignment="1">
      <alignment vertical="center"/>
    </xf>
    <xf numFmtId="43" fontId="4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left" vertical="top"/>
    </xf>
    <xf numFmtId="0" fontId="26" fillId="0" borderId="0" xfId="0" applyFont="1" applyFill="1" applyBorder="1" applyAlignment="1">
      <alignment vertical="center" wrapText="1"/>
    </xf>
    <xf numFmtId="0" fontId="0" fillId="0" borderId="0" xfId="0" applyFont="1" applyFill="1" applyBorder="1">
      <alignment vertical="center"/>
    </xf>
    <xf numFmtId="0" fontId="22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wrapText="1"/>
    </xf>
    <xf numFmtId="3" fontId="22" fillId="0" borderId="0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8" fillId="0" borderId="0" xfId="0" applyFont="1">
      <alignment vertical="center"/>
    </xf>
    <xf numFmtId="3" fontId="28" fillId="0" borderId="0" xfId="3" applyNumberFormat="1" applyFont="1" applyBorder="1" applyAlignment="1">
      <alignment horizontal="centerContinuous" vertical="center"/>
    </xf>
    <xf numFmtId="0" fontId="28" fillId="0" borderId="3" xfId="0" applyFont="1" applyBorder="1" applyAlignment="1">
      <alignment horizontal="centerContinuous" vertical="center"/>
    </xf>
    <xf numFmtId="0" fontId="29" fillId="3" borderId="4" xfId="5" applyFont="1" applyFill="1" applyBorder="1" applyAlignment="1">
      <alignment horizontal="center"/>
    </xf>
    <xf numFmtId="0" fontId="27" fillId="0" borderId="0" xfId="5" applyFont="1"/>
    <xf numFmtId="14" fontId="27" fillId="0" borderId="4" xfId="5" applyNumberFormat="1" applyFont="1" applyBorder="1"/>
    <xf numFmtId="177" fontId="27" fillId="0" borderId="4" xfId="1" applyNumberFormat="1" applyFont="1" applyBorder="1" applyAlignment="1"/>
    <xf numFmtId="14" fontId="27" fillId="0" borderId="4" xfId="5" applyNumberFormat="1" applyFont="1" applyFill="1" applyBorder="1"/>
    <xf numFmtId="177" fontId="27" fillId="0" borderId="4" xfId="1" applyNumberFormat="1" applyFont="1" applyFill="1" applyBorder="1" applyAlignment="1"/>
    <xf numFmtId="0" fontId="27" fillId="0" borderId="0" xfId="5" applyFont="1" applyFill="1"/>
    <xf numFmtId="14" fontId="27" fillId="0" borderId="0" xfId="5" applyNumberFormat="1" applyFont="1" applyFill="1" applyBorder="1"/>
    <xf numFmtId="177" fontId="27" fillId="0" borderId="0" xfId="1" applyNumberFormat="1" applyFont="1" applyFill="1" applyBorder="1" applyAlignment="1"/>
    <xf numFmtId="0" fontId="27" fillId="0" borderId="0" xfId="5" applyFont="1" applyBorder="1"/>
    <xf numFmtId="189" fontId="28" fillId="0" borderId="0" xfId="7" applyNumberFormat="1" applyFont="1"/>
    <xf numFmtId="189" fontId="33" fillId="0" borderId="0" xfId="7" applyNumberFormat="1" applyFont="1"/>
    <xf numFmtId="189" fontId="30" fillId="0" borderId="0" xfId="7" applyNumberFormat="1" applyFont="1"/>
    <xf numFmtId="189" fontId="30" fillId="0" borderId="19" xfId="7" applyNumberFormat="1" applyFont="1" applyBorder="1" applyAlignment="1">
      <alignment horizontal="center"/>
    </xf>
    <xf numFmtId="189" fontId="30" fillId="0" borderId="20" xfId="7" applyNumberFormat="1" applyFont="1" applyBorder="1" applyAlignment="1">
      <alignment horizontal="center"/>
    </xf>
    <xf numFmtId="189" fontId="30" fillId="0" borderId="27" xfId="7" applyNumberFormat="1" applyFont="1" applyBorder="1" applyAlignment="1">
      <alignment horizontal="center"/>
    </xf>
    <xf numFmtId="189" fontId="30" fillId="0" borderId="21" xfId="7" applyNumberFormat="1" applyFont="1" applyBorder="1" applyAlignment="1">
      <alignment horizontal="center"/>
    </xf>
    <xf numFmtId="189" fontId="30" fillId="0" borderId="0" xfId="7" applyNumberFormat="1" applyFont="1" applyAlignment="1">
      <alignment horizontal="center"/>
    </xf>
    <xf numFmtId="189" fontId="28" fillId="0" borderId="31" xfId="7" applyNumberFormat="1" applyFont="1" applyBorder="1"/>
    <xf numFmtId="189" fontId="28" fillId="0" borderId="32" xfId="7" applyNumberFormat="1" applyFont="1" applyBorder="1"/>
    <xf numFmtId="189" fontId="28" fillId="0" borderId="33" xfId="7" applyNumberFormat="1" applyFont="1" applyBorder="1"/>
    <xf numFmtId="189" fontId="28" fillId="0" borderId="0" xfId="7" applyNumberFormat="1" applyFont="1" applyBorder="1"/>
    <xf numFmtId="189" fontId="28" fillId="0" borderId="14" xfId="7" applyNumberFormat="1" applyFont="1" applyBorder="1"/>
    <xf numFmtId="189" fontId="28" fillId="0" borderId="13" xfId="7" applyNumberFormat="1" applyFont="1" applyBorder="1"/>
    <xf numFmtId="189" fontId="28" fillId="0" borderId="34" xfId="7" applyNumberFormat="1" applyFont="1" applyBorder="1"/>
    <xf numFmtId="189" fontId="28" fillId="0" borderId="15" xfId="7" applyNumberFormat="1" applyFont="1" applyBorder="1"/>
    <xf numFmtId="0" fontId="28" fillId="0" borderId="0" xfId="8" applyFont="1"/>
    <xf numFmtId="0" fontId="28" fillId="0" borderId="33" xfId="8" applyFont="1" applyBorder="1"/>
    <xf numFmtId="0" fontId="28" fillId="0" borderId="0" xfId="8" applyFont="1" applyBorder="1"/>
    <xf numFmtId="189" fontId="30" fillId="0" borderId="19" xfId="7" applyNumberFormat="1" applyFont="1" applyBorder="1"/>
    <xf numFmtId="189" fontId="30" fillId="0" borderId="20" xfId="7" applyNumberFormat="1" applyFont="1" applyBorder="1"/>
    <xf numFmtId="189" fontId="30" fillId="0" borderId="26" xfId="7" applyNumberFormat="1" applyFont="1" applyBorder="1"/>
    <xf numFmtId="189" fontId="30" fillId="0" borderId="27" xfId="7" applyNumberFormat="1" applyFont="1" applyBorder="1"/>
    <xf numFmtId="189" fontId="30" fillId="0" borderId="28" xfId="7" applyNumberFormat="1" applyFont="1" applyBorder="1"/>
    <xf numFmtId="189" fontId="30" fillId="0" borderId="29" xfId="7" applyNumberFormat="1" applyFont="1" applyBorder="1"/>
    <xf numFmtId="189" fontId="30" fillId="0" borderId="30" xfId="7" applyNumberFormat="1" applyFont="1" applyBorder="1"/>
    <xf numFmtId="189" fontId="30" fillId="0" borderId="21" xfId="7" applyNumberFormat="1" applyFont="1" applyBorder="1"/>
    <xf numFmtId="189" fontId="30" fillId="0" borderId="0" xfId="7" applyNumberFormat="1" applyFont="1" applyBorder="1"/>
    <xf numFmtId="189" fontId="28" fillId="0" borderId="32" xfId="7" applyNumberFormat="1" applyFont="1" applyFill="1" applyBorder="1"/>
    <xf numFmtId="189" fontId="28" fillId="0" borderId="33" xfId="7" applyNumberFormat="1" applyFont="1" applyFill="1" applyBorder="1"/>
    <xf numFmtId="189" fontId="28" fillId="0" borderId="0" xfId="7" applyNumberFormat="1" applyFont="1" applyFill="1" applyBorder="1"/>
    <xf numFmtId="189" fontId="28" fillId="0" borderId="14" xfId="7" applyNumberFormat="1" applyFont="1" applyFill="1" applyBorder="1"/>
    <xf numFmtId="189" fontId="28" fillId="0" borderId="13" xfId="7" applyNumberFormat="1" applyFont="1" applyFill="1" applyBorder="1"/>
    <xf numFmtId="189" fontId="28" fillId="0" borderId="34" xfId="7" applyNumberFormat="1" applyFont="1" applyFill="1" applyBorder="1"/>
    <xf numFmtId="0" fontId="28" fillId="0" borderId="33" xfId="8" applyFont="1" applyFill="1" applyBorder="1"/>
    <xf numFmtId="0" fontId="28" fillId="0" borderId="0" xfId="8" applyFont="1" applyFill="1" applyBorder="1"/>
    <xf numFmtId="189" fontId="30" fillId="2" borderId="1" xfId="7" applyNumberFormat="1" applyFont="1" applyFill="1" applyBorder="1" applyAlignment="1">
      <alignment horizontal="centerContinuous"/>
    </xf>
    <xf numFmtId="189" fontId="30" fillId="2" borderId="2" xfId="7" applyNumberFormat="1" applyFont="1" applyFill="1" applyBorder="1" applyAlignment="1">
      <alignment horizontal="centerContinuous"/>
    </xf>
    <xf numFmtId="189" fontId="30" fillId="2" borderId="3" xfId="7" applyNumberFormat="1" applyFont="1" applyFill="1" applyBorder="1" applyAlignment="1">
      <alignment horizontal="centerContinuous"/>
    </xf>
    <xf numFmtId="189" fontId="30" fillId="2" borderId="3" xfId="7" applyNumberFormat="1" applyFont="1" applyFill="1" applyBorder="1" applyAlignment="1">
      <alignment horizontal="center"/>
    </xf>
    <xf numFmtId="189" fontId="30" fillId="2" borderId="4" xfId="7" applyNumberFormat="1" applyFont="1" applyFill="1" applyBorder="1" applyAlignment="1">
      <alignment horizontal="center"/>
    </xf>
    <xf numFmtId="189" fontId="30" fillId="2" borderId="6" xfId="7" applyNumberFormat="1" applyFont="1" applyFill="1" applyBorder="1" applyAlignment="1">
      <alignment horizontal="center"/>
    </xf>
    <xf numFmtId="189" fontId="30" fillId="2" borderId="8" xfId="7" applyNumberFormat="1" applyFont="1" applyFill="1" applyBorder="1" applyAlignment="1">
      <alignment horizontal="center"/>
    </xf>
    <xf numFmtId="186" fontId="6" fillId="0" borderId="7" xfId="4" applyNumberFormat="1" applyFont="1" applyBorder="1" applyAlignment="1">
      <alignment vertical="center"/>
    </xf>
    <xf numFmtId="186" fontId="6" fillId="0" borderId="4" xfId="4" applyNumberFormat="1" applyFont="1" applyFill="1" applyBorder="1" applyAlignment="1">
      <alignment horizontal="centerContinuous" vertical="center"/>
    </xf>
    <xf numFmtId="186" fontId="6" fillId="0" borderId="4" xfId="4" applyNumberFormat="1" applyFont="1" applyBorder="1" applyAlignment="1">
      <alignment horizontal="center" vertical="center"/>
    </xf>
    <xf numFmtId="186" fontId="14" fillId="0" borderId="4" xfId="4" applyNumberFormat="1" applyFont="1" applyBorder="1" applyAlignment="1">
      <alignment horizontal="center" vertical="center"/>
    </xf>
    <xf numFmtId="186" fontId="6" fillId="0" borderId="13" xfId="4" applyNumberFormat="1" applyFont="1" applyBorder="1" applyAlignment="1">
      <alignment horizontal="left" vertical="center"/>
    </xf>
    <xf numFmtId="176" fontId="30" fillId="2" borderId="1" xfId="4" applyNumberFormat="1" applyFont="1" applyFill="1" applyBorder="1" applyAlignment="1">
      <alignment horizontal="centerContinuous" vertical="center"/>
    </xf>
    <xf numFmtId="176" fontId="30" fillId="2" borderId="2" xfId="4" applyNumberFormat="1" applyFont="1" applyFill="1" applyBorder="1" applyAlignment="1">
      <alignment horizontal="centerContinuous" vertical="center"/>
    </xf>
    <xf numFmtId="176" fontId="30" fillId="2" borderId="4" xfId="4" applyNumberFormat="1" applyFont="1" applyFill="1" applyBorder="1" applyAlignment="1">
      <alignment horizontal="centerContinuous" vertical="center"/>
    </xf>
    <xf numFmtId="0" fontId="28" fillId="0" borderId="0" xfId="0" applyFont="1" applyAlignment="1">
      <alignment vertical="center"/>
    </xf>
    <xf numFmtId="41" fontId="28" fillId="0" borderId="0" xfId="1" applyFont="1" applyAlignment="1">
      <alignment vertical="center"/>
    </xf>
    <xf numFmtId="41" fontId="28" fillId="0" borderId="0" xfId="0" applyNumberFormat="1" applyFont="1" applyAlignment="1">
      <alignment vertical="center"/>
    </xf>
    <xf numFmtId="186" fontId="13" fillId="0" borderId="0" xfId="4" applyNumberFormat="1" applyFont="1" applyAlignment="1">
      <alignment horizontal="centerContinuous" vertical="center"/>
    </xf>
    <xf numFmtId="186" fontId="13" fillId="0" borderId="0" xfId="4" applyNumberFormat="1" applyFont="1" applyBorder="1" applyAlignment="1">
      <alignment horizontal="centerContinuous" vertical="center"/>
    </xf>
    <xf numFmtId="186" fontId="13" fillId="0" borderId="0" xfId="4" applyNumberFormat="1" applyFont="1" applyBorder="1" applyAlignment="1">
      <alignment horizontal="left" vertical="center"/>
    </xf>
    <xf numFmtId="186" fontId="6" fillId="0" borderId="0" xfId="4" applyNumberFormat="1" applyFont="1" applyBorder="1" applyAlignment="1">
      <alignment horizontal="centerContinuous" vertical="center"/>
    </xf>
    <xf numFmtId="186" fontId="6" fillId="0" borderId="0" xfId="4" applyNumberFormat="1" applyFont="1" applyAlignment="1">
      <alignment horizontal="centerContinuous" vertical="center"/>
    </xf>
    <xf numFmtId="186" fontId="6" fillId="0" borderId="0" xfId="4" applyNumberFormat="1" applyFont="1" applyBorder="1" applyAlignment="1">
      <alignment horizontal="left" vertical="center"/>
    </xf>
    <xf numFmtId="186" fontId="6" fillId="0" borderId="0" xfId="4" applyNumberFormat="1" applyFont="1" applyAlignment="1">
      <alignment horizontal="right" vertical="center"/>
    </xf>
    <xf numFmtId="186" fontId="14" fillId="0" borderId="0" xfId="4" applyNumberFormat="1" applyFont="1" applyAlignment="1">
      <alignment horizontal="left" vertical="center"/>
    </xf>
    <xf numFmtId="186" fontId="6" fillId="0" borderId="0" xfId="4" applyNumberFormat="1" applyFont="1" applyAlignment="1">
      <alignment horizontal="left" vertical="center"/>
    </xf>
    <xf numFmtId="186" fontId="6" fillId="0" borderId="0" xfId="4" applyNumberFormat="1" applyFont="1" applyBorder="1" applyAlignment="1">
      <alignment horizontal="center" vertical="center"/>
    </xf>
    <xf numFmtId="190" fontId="6" fillId="0" borderId="15" xfId="4" applyNumberFormat="1" applyFont="1" applyBorder="1" applyAlignment="1">
      <alignment horizontal="right" vertical="center"/>
    </xf>
    <xf numFmtId="190" fontId="14" fillId="0" borderId="15" xfId="4" applyNumberFormat="1" applyFont="1" applyBorder="1" applyAlignment="1">
      <alignment horizontal="right" vertical="center"/>
    </xf>
    <xf numFmtId="190" fontId="6" fillId="0" borderId="4" xfId="4" applyNumberFormat="1" applyFont="1" applyBorder="1" applyAlignment="1">
      <alignment horizontal="right" vertical="center"/>
    </xf>
    <xf numFmtId="190" fontId="6" fillId="0" borderId="14" xfId="4" applyNumberFormat="1" applyFont="1" applyBorder="1" applyAlignment="1">
      <alignment horizontal="right" vertical="center"/>
    </xf>
    <xf numFmtId="186" fontId="6" fillId="0" borderId="12" xfId="4" applyNumberFormat="1" applyFont="1" applyBorder="1" applyAlignment="1">
      <alignment horizontal="right" vertical="center"/>
    </xf>
    <xf numFmtId="188" fontId="6" fillId="0" borderId="12" xfId="4" applyNumberFormat="1" applyFont="1" applyBorder="1" applyAlignment="1">
      <alignment horizontal="right" vertical="center"/>
    </xf>
    <xf numFmtId="188" fontId="6" fillId="0" borderId="8" xfId="4" applyNumberFormat="1" applyFont="1" applyBorder="1" applyAlignment="1">
      <alignment horizontal="right" vertical="center"/>
    </xf>
    <xf numFmtId="186" fontId="14" fillId="0" borderId="0" xfId="4" applyNumberFormat="1" applyFont="1" applyAlignment="1">
      <alignment horizontal="centerContinuous" vertical="center"/>
    </xf>
    <xf numFmtId="188" fontId="6" fillId="0" borderId="0" xfId="4" applyNumberFormat="1" applyFont="1" applyBorder="1" applyAlignment="1">
      <alignment horizontal="centerContinuous" vertical="center"/>
    </xf>
    <xf numFmtId="186" fontId="13" fillId="0" borderId="0" xfId="4" applyNumberFormat="1" applyFont="1" applyAlignment="1">
      <alignment horizontal="right" vertical="center"/>
    </xf>
    <xf numFmtId="186" fontId="13" fillId="0" borderId="0" xfId="4" applyNumberFormat="1" applyFont="1" applyBorder="1" applyAlignment="1">
      <alignment vertical="center"/>
    </xf>
    <xf numFmtId="186" fontId="13" fillId="0" borderId="0" xfId="4" applyNumberFormat="1" applyFont="1" applyAlignment="1">
      <alignment vertical="center"/>
    </xf>
    <xf numFmtId="186" fontId="13" fillId="0" borderId="0" xfId="4" applyNumberFormat="1" applyFont="1" applyFill="1" applyAlignment="1">
      <alignment horizontal="centerContinuous" vertical="center"/>
    </xf>
    <xf numFmtId="186" fontId="13" fillId="0" borderId="0" xfId="4" quotePrefix="1" applyNumberFormat="1" applyFont="1" applyBorder="1" applyAlignment="1">
      <alignment horizontal="centerContinuous" vertical="center"/>
    </xf>
    <xf numFmtId="186" fontId="6" fillId="0" borderId="0" xfId="4" applyNumberFormat="1" applyFont="1" applyFill="1" applyAlignment="1">
      <alignment horizontal="centerContinuous" vertical="center"/>
    </xf>
    <xf numFmtId="186" fontId="6" fillId="0" borderId="0" xfId="4" applyNumberFormat="1" applyFont="1" applyFill="1" applyAlignment="1">
      <alignment horizontal="right" vertical="center"/>
    </xf>
    <xf numFmtId="186" fontId="14" fillId="0" borderId="15" xfId="4" applyNumberFormat="1" applyFont="1" applyBorder="1" applyAlignment="1">
      <alignment horizontal="left" vertical="center"/>
    </xf>
    <xf numFmtId="213" fontId="6" fillId="0" borderId="14" xfId="4" applyNumberFormat="1" applyFont="1" applyFill="1" applyBorder="1" applyAlignment="1">
      <alignment horizontal="right" vertical="center"/>
    </xf>
    <xf numFmtId="186" fontId="6" fillId="0" borderId="15" xfId="4" applyNumberFormat="1" applyFont="1" applyBorder="1" applyAlignment="1">
      <alignment horizontal="left" vertical="center"/>
    </xf>
    <xf numFmtId="213" fontId="14" fillId="0" borderId="14" xfId="4" applyNumberFormat="1" applyFont="1" applyFill="1" applyBorder="1" applyAlignment="1">
      <alignment horizontal="right" vertical="center"/>
    </xf>
    <xf numFmtId="213" fontId="6" fillId="0" borderId="15" xfId="4" applyNumberFormat="1" applyFont="1" applyFill="1" applyBorder="1" applyAlignment="1">
      <alignment horizontal="right" vertical="center"/>
    </xf>
    <xf numFmtId="213" fontId="14" fillId="0" borderId="15" xfId="4" applyNumberFormat="1" applyFont="1" applyFill="1" applyBorder="1" applyAlignment="1">
      <alignment horizontal="right" vertical="center"/>
    </xf>
    <xf numFmtId="213" fontId="14" fillId="0" borderId="14" xfId="4" applyNumberFormat="1" applyFont="1" applyFill="1" applyBorder="1" applyAlignment="1">
      <alignment horizontal="centerContinuous" vertical="center"/>
    </xf>
    <xf numFmtId="213" fontId="6" fillId="0" borderId="12" xfId="4" applyNumberFormat="1" applyFont="1" applyFill="1" applyBorder="1" applyAlignment="1">
      <alignment horizontal="right" vertical="center"/>
    </xf>
    <xf numFmtId="213" fontId="6" fillId="0" borderId="16" xfId="4" applyNumberFormat="1" applyFont="1" applyFill="1" applyBorder="1" applyAlignment="1">
      <alignment horizontal="right" vertical="center"/>
    </xf>
    <xf numFmtId="213" fontId="6" fillId="0" borderId="18" xfId="4" applyNumberFormat="1" applyFont="1" applyFill="1" applyBorder="1" applyAlignment="1">
      <alignment horizontal="right" vertical="center"/>
    </xf>
    <xf numFmtId="213" fontId="14" fillId="0" borderId="15" xfId="1" applyNumberFormat="1" applyFont="1" applyFill="1" applyBorder="1" applyAlignment="1">
      <alignment horizontal="right" vertical="center"/>
    </xf>
    <xf numFmtId="213" fontId="6" fillId="0" borderId="15" xfId="1" applyNumberFormat="1" applyFont="1" applyFill="1" applyBorder="1" applyAlignment="1">
      <alignment horizontal="right" vertical="center"/>
    </xf>
    <xf numFmtId="3" fontId="6" fillId="0" borderId="15" xfId="0" applyNumberFormat="1" applyFont="1" applyBorder="1" applyAlignment="1">
      <alignment horizontal="left" vertical="center"/>
    </xf>
    <xf numFmtId="213" fontId="14" fillId="0" borderId="12" xfId="4" applyNumberFormat="1" applyFont="1" applyFill="1" applyBorder="1" applyAlignment="1">
      <alignment horizontal="right" vertical="center"/>
    </xf>
    <xf numFmtId="186" fontId="14" fillId="0" borderId="13" xfId="4" applyNumberFormat="1" applyFont="1" applyBorder="1" applyAlignment="1">
      <alignment horizontal="left" vertical="center"/>
    </xf>
    <xf numFmtId="186" fontId="14" fillId="0" borderId="7" xfId="4" applyNumberFormat="1" applyFont="1" applyBorder="1" applyAlignment="1">
      <alignment horizontal="left" vertical="center"/>
    </xf>
    <xf numFmtId="186" fontId="6" fillId="0" borderId="0" xfId="4" applyNumberFormat="1" applyFont="1" applyBorder="1" applyAlignment="1">
      <alignment horizontal="right" vertical="center"/>
    </xf>
    <xf numFmtId="186" fontId="6" fillId="0" borderId="0" xfId="4" applyNumberFormat="1" applyFont="1" applyFill="1" applyBorder="1" applyAlignment="1">
      <alignment horizontal="right" vertical="center"/>
    </xf>
    <xf numFmtId="186" fontId="14" fillId="0" borderId="0" xfId="4" applyNumberFormat="1" applyFont="1" applyBorder="1" applyAlignment="1">
      <alignment horizontal="centerContinuous" vertical="center"/>
    </xf>
    <xf numFmtId="186" fontId="6" fillId="0" borderId="16" xfId="4" applyNumberFormat="1" applyFont="1" applyBorder="1" applyAlignment="1">
      <alignment horizontal="left" vertical="center"/>
    </xf>
    <xf numFmtId="213" fontId="14" fillId="0" borderId="14" xfId="4" quotePrefix="1" applyNumberFormat="1" applyFont="1" applyFill="1" applyBorder="1" applyAlignment="1">
      <alignment horizontal="right" vertical="center"/>
    </xf>
    <xf numFmtId="213" fontId="14" fillId="0" borderId="15" xfId="4" quotePrefix="1" applyNumberFormat="1" applyFont="1" applyFill="1" applyBorder="1" applyAlignment="1">
      <alignment horizontal="right" vertical="center"/>
    </xf>
    <xf numFmtId="213" fontId="14" fillId="0" borderId="12" xfId="4" quotePrefix="1" applyNumberFormat="1" applyFont="1" applyFill="1" applyBorder="1" applyAlignment="1">
      <alignment horizontal="right" vertical="center"/>
    </xf>
    <xf numFmtId="213" fontId="6" fillId="0" borderId="14" xfId="4" quotePrefix="1" applyNumberFormat="1" applyFont="1" applyFill="1" applyBorder="1" applyAlignment="1">
      <alignment horizontal="right" vertical="center"/>
    </xf>
    <xf numFmtId="186" fontId="14" fillId="0" borderId="11" xfId="4" applyNumberFormat="1" applyFont="1" applyBorder="1" applyAlignment="1">
      <alignment vertical="center"/>
    </xf>
    <xf numFmtId="186" fontId="6" fillId="0" borderId="0" xfId="4" applyNumberFormat="1" applyFont="1" applyFill="1" applyBorder="1" applyAlignment="1">
      <alignment horizontal="centerContinuous" vertical="center"/>
    </xf>
    <xf numFmtId="186" fontId="15" fillId="0" borderId="0" xfId="4" applyNumberFormat="1" applyFont="1" applyBorder="1" applyAlignment="1">
      <alignment horizontal="centerContinuous" vertical="center"/>
    </xf>
    <xf numFmtId="186" fontId="6" fillId="0" borderId="0" xfId="4" applyNumberFormat="1" applyFont="1" applyFill="1" applyBorder="1" applyAlignment="1">
      <alignment horizontal="left" vertical="center"/>
    </xf>
    <xf numFmtId="186" fontId="6" fillId="0" borderId="7" xfId="4" applyNumberFormat="1" applyFont="1" applyBorder="1" applyAlignment="1">
      <alignment horizontal="left" vertical="center"/>
    </xf>
    <xf numFmtId="213" fontId="6" fillId="0" borderId="8" xfId="4" applyNumberFormat="1" applyFont="1" applyFill="1" applyBorder="1" applyAlignment="1">
      <alignment horizontal="right" vertical="center"/>
    </xf>
    <xf numFmtId="186" fontId="16" fillId="0" borderId="0" xfId="4" applyNumberFormat="1" applyFont="1" applyFill="1" applyAlignment="1">
      <alignment horizontal="centerContinuous" vertical="center"/>
    </xf>
    <xf numFmtId="186" fontId="16" fillId="0" borderId="0" xfId="4" applyNumberFormat="1" applyFont="1" applyBorder="1" applyAlignment="1">
      <alignment vertical="center"/>
    </xf>
    <xf numFmtId="186" fontId="16" fillId="0" borderId="0" xfId="4" applyNumberFormat="1" applyFont="1" applyBorder="1" applyAlignment="1">
      <alignment horizontal="left" vertical="center"/>
    </xf>
    <xf numFmtId="213" fontId="6" fillId="0" borderId="15" xfId="4" quotePrefix="1" applyNumberFormat="1" applyFont="1" applyFill="1" applyBorder="1" applyAlignment="1">
      <alignment horizontal="right" vertical="center"/>
    </xf>
    <xf numFmtId="213" fontId="14" fillId="0" borderId="14" xfId="4" applyNumberFormat="1" applyFont="1" applyFill="1" applyBorder="1" applyAlignment="1">
      <alignment vertical="center"/>
    </xf>
    <xf numFmtId="213" fontId="6" fillId="0" borderId="14" xfId="4" applyNumberFormat="1" applyFont="1" applyFill="1" applyBorder="1" applyAlignment="1">
      <alignment vertical="center"/>
    </xf>
    <xf numFmtId="213" fontId="6" fillId="0" borderId="14" xfId="4" applyNumberFormat="1" applyFont="1" applyFill="1" applyBorder="1" applyAlignment="1">
      <alignment horizontal="left" vertical="center"/>
    </xf>
    <xf numFmtId="213" fontId="6" fillId="0" borderId="15" xfId="4" applyNumberFormat="1" applyFont="1" applyFill="1" applyBorder="1" applyAlignment="1">
      <alignment horizontal="left" vertical="center"/>
    </xf>
    <xf numFmtId="186" fontId="6" fillId="0" borderId="0" xfId="4" applyNumberFormat="1" applyFont="1" applyFill="1" applyBorder="1" applyAlignment="1">
      <alignment vertical="center"/>
    </xf>
    <xf numFmtId="0" fontId="6" fillId="0" borderId="0" xfId="4" applyFont="1" applyAlignment="1">
      <alignment vertical="center"/>
    </xf>
    <xf numFmtId="186" fontId="13" fillId="0" borderId="0" xfId="4" applyNumberFormat="1" applyFont="1" applyFill="1" applyAlignment="1">
      <alignment horizontal="right" vertical="center"/>
    </xf>
    <xf numFmtId="186" fontId="13" fillId="0" borderId="0" xfId="4" applyNumberFormat="1" applyFont="1" applyFill="1" applyAlignment="1">
      <alignment vertical="center"/>
    </xf>
    <xf numFmtId="14" fontId="30" fillId="0" borderId="9" xfId="0" applyNumberFormat="1" applyFont="1" applyBorder="1" applyAlignment="1">
      <alignment horizontal="center" vertical="center"/>
    </xf>
    <xf numFmtId="216" fontId="33" fillId="0" borderId="0" xfId="0" applyNumberFormat="1" applyFont="1" applyAlignment="1">
      <alignment vertical="center"/>
    </xf>
    <xf numFmtId="216" fontId="28" fillId="0" borderId="0" xfId="0" applyNumberFormat="1" applyFont="1" applyAlignment="1">
      <alignment vertical="center"/>
    </xf>
    <xf numFmtId="216" fontId="28" fillId="0" borderId="0" xfId="1" quotePrefix="1" applyNumberFormat="1" applyFont="1" applyAlignment="1">
      <alignment vertical="center"/>
    </xf>
    <xf numFmtId="216" fontId="28" fillId="0" borderId="0" xfId="1" applyNumberFormat="1" applyFont="1" applyAlignment="1">
      <alignment vertical="center"/>
    </xf>
    <xf numFmtId="216" fontId="28" fillId="0" borderId="0" xfId="1" applyNumberFormat="1" applyFont="1" applyBorder="1" applyAlignment="1">
      <alignment vertical="center"/>
    </xf>
    <xf numFmtId="216" fontId="28" fillId="0" borderId="0" xfId="0" quotePrefix="1" applyNumberFormat="1" applyFont="1" applyAlignment="1">
      <alignment vertical="center"/>
    </xf>
    <xf numFmtId="216" fontId="33" fillId="0" borderId="0" xfId="1" applyNumberFormat="1" applyFont="1" applyAlignment="1">
      <alignment vertical="center"/>
    </xf>
    <xf numFmtId="216" fontId="30" fillId="0" borderId="0" xfId="1" applyNumberFormat="1" applyFont="1" applyAlignment="1">
      <alignment vertical="center"/>
    </xf>
    <xf numFmtId="216" fontId="28" fillId="4" borderId="0" xfId="0" applyNumberFormat="1" applyFont="1" applyFill="1" applyAlignment="1">
      <alignment vertical="center"/>
    </xf>
    <xf numFmtId="216" fontId="30" fillId="4" borderId="0" xfId="0" applyNumberFormat="1" applyFont="1" applyFill="1" applyAlignment="1">
      <alignment vertical="center"/>
    </xf>
    <xf numFmtId="216" fontId="28" fillId="4" borderId="0" xfId="1" applyNumberFormat="1" applyFont="1" applyFill="1" applyAlignment="1">
      <alignment vertical="center"/>
    </xf>
    <xf numFmtId="216" fontId="28" fillId="0" borderId="0" xfId="0" applyNumberFormat="1" applyFont="1" applyFill="1" applyAlignment="1">
      <alignment vertical="center"/>
    </xf>
    <xf numFmtId="216" fontId="30" fillId="0" borderId="0" xfId="0" applyNumberFormat="1" applyFont="1" applyFill="1" applyAlignment="1">
      <alignment vertical="center"/>
    </xf>
    <xf numFmtId="216" fontId="28" fillId="0" borderId="0" xfId="1" applyNumberFormat="1" applyFont="1" applyFill="1" applyAlignment="1">
      <alignment vertical="center"/>
    </xf>
    <xf numFmtId="216" fontId="30" fillId="0" borderId="0" xfId="0" applyNumberFormat="1" applyFont="1" applyAlignment="1">
      <alignment vertical="center"/>
    </xf>
    <xf numFmtId="216" fontId="28" fillId="0" borderId="0" xfId="1" applyNumberFormat="1" applyFont="1" applyBorder="1" applyAlignment="1">
      <alignment horizontal="right" vertical="center"/>
    </xf>
    <xf numFmtId="216" fontId="31" fillId="0" borderId="0" xfId="0" applyNumberFormat="1" applyFont="1" applyAlignment="1">
      <alignment vertical="center"/>
    </xf>
    <xf numFmtId="216" fontId="28" fillId="0" borderId="0" xfId="0" applyNumberFormat="1" applyFont="1" applyFill="1" applyBorder="1" applyAlignment="1">
      <alignment vertical="center"/>
    </xf>
    <xf numFmtId="216" fontId="28" fillId="0" borderId="0" xfId="1" applyNumberFormat="1" applyFont="1" applyFill="1" applyBorder="1" applyAlignment="1">
      <alignment horizontal="center" vertical="center"/>
    </xf>
    <xf numFmtId="216" fontId="28" fillId="0" borderId="0" xfId="0" quotePrefix="1" applyNumberFormat="1" applyFont="1" applyAlignment="1">
      <alignment horizontal="right" vertical="center"/>
    </xf>
    <xf numFmtId="216" fontId="28" fillId="0" borderId="0" xfId="0" applyNumberFormat="1" applyFont="1" applyBorder="1" applyAlignment="1">
      <alignment horizontal="center" vertical="center"/>
    </xf>
    <xf numFmtId="216" fontId="28" fillId="0" borderId="0" xfId="0" applyNumberFormat="1" applyFont="1" applyBorder="1" applyAlignment="1">
      <alignment vertical="center"/>
    </xf>
    <xf numFmtId="216" fontId="31" fillId="0" borderId="0" xfId="0" quotePrefix="1" applyNumberFormat="1" applyFont="1" applyAlignment="1">
      <alignment vertical="center"/>
    </xf>
    <xf numFmtId="216" fontId="28" fillId="0" borderId="0" xfId="0" quotePrefix="1" applyNumberFormat="1" applyFont="1" applyAlignment="1">
      <alignment horizontal="center" vertical="center"/>
    </xf>
    <xf numFmtId="216" fontId="28" fillId="0" borderId="0" xfId="1" quotePrefix="1" applyNumberFormat="1" applyFont="1" applyAlignment="1">
      <alignment horizontal="center" vertical="center"/>
    </xf>
    <xf numFmtId="216" fontId="28" fillId="0" borderId="0" xfId="1" applyNumberFormat="1" applyFont="1" applyAlignment="1">
      <alignment horizontal="center" vertical="center"/>
    </xf>
    <xf numFmtId="216" fontId="31" fillId="0" borderId="0" xfId="0" applyNumberFormat="1" applyFont="1" applyAlignment="1">
      <alignment horizontal="justify" vertical="center"/>
    </xf>
    <xf numFmtId="216" fontId="28" fillId="0" borderId="0" xfId="0" applyNumberFormat="1" applyFont="1" applyAlignment="1">
      <alignment horizontal="right" vertical="center"/>
    </xf>
    <xf numFmtId="216" fontId="30" fillId="0" borderId="0" xfId="0" applyNumberFormat="1" applyFont="1" applyAlignment="1">
      <alignment horizontal="center" vertical="center"/>
    </xf>
    <xf numFmtId="216" fontId="33" fillId="0" borderId="0" xfId="0" applyNumberFormat="1" applyFont="1" applyAlignment="1">
      <alignment horizontal="center" vertical="center"/>
    </xf>
    <xf numFmtId="216" fontId="28" fillId="0" borderId="0" xfId="0" applyNumberFormat="1" applyFont="1" applyAlignment="1">
      <alignment horizontal="center" vertical="center"/>
    </xf>
    <xf numFmtId="216" fontId="28" fillId="0" borderId="0" xfId="1" quotePrefix="1" applyNumberFormat="1" applyFont="1" applyAlignment="1">
      <alignment horizontal="right" vertical="center"/>
    </xf>
    <xf numFmtId="216" fontId="30" fillId="3" borderId="0" xfId="0" applyNumberFormat="1" applyFont="1" applyFill="1" applyAlignment="1">
      <alignment vertical="center"/>
    </xf>
    <xf numFmtId="216" fontId="30" fillId="30" borderId="0" xfId="0" applyNumberFormat="1" applyFont="1" applyFill="1" applyAlignment="1">
      <alignment vertical="center"/>
    </xf>
    <xf numFmtId="216" fontId="30" fillId="30" borderId="0" xfId="1" applyNumberFormat="1" applyFont="1" applyFill="1" applyAlignment="1">
      <alignment vertical="center"/>
    </xf>
    <xf numFmtId="216" fontId="28" fillId="0" borderId="0" xfId="0" applyNumberFormat="1" applyFont="1" applyFill="1" applyAlignment="1">
      <alignment horizontal="right" vertical="center"/>
    </xf>
    <xf numFmtId="216" fontId="28" fillId="0" borderId="0" xfId="1" applyNumberFormat="1" applyFont="1" applyFill="1" applyBorder="1" applyAlignment="1">
      <alignment horizontal="right" vertical="center"/>
    </xf>
    <xf numFmtId="216" fontId="28" fillId="0" borderId="10" xfId="0" applyNumberFormat="1" applyFont="1" applyFill="1" applyBorder="1" applyAlignment="1">
      <alignment vertical="center"/>
    </xf>
    <xf numFmtId="216" fontId="30" fillId="0" borderId="10" xfId="0" applyNumberFormat="1" applyFont="1" applyFill="1" applyBorder="1" applyAlignment="1">
      <alignment vertical="center"/>
    </xf>
    <xf numFmtId="216" fontId="30" fillId="0" borderId="0" xfId="1" applyNumberFormat="1" applyFont="1" applyFill="1" applyBorder="1" applyAlignment="1">
      <alignment horizontal="right" vertical="center"/>
    </xf>
    <xf numFmtId="216" fontId="28" fillId="30" borderId="0" xfId="0" applyNumberFormat="1" applyFont="1" applyFill="1" applyAlignment="1">
      <alignment vertical="center"/>
    </xf>
    <xf numFmtId="216" fontId="28" fillId="30" borderId="0" xfId="1" applyNumberFormat="1" applyFont="1" applyFill="1" applyAlignment="1">
      <alignment vertical="center"/>
    </xf>
    <xf numFmtId="216" fontId="28" fillId="0" borderId="0" xfId="1" applyNumberFormat="1" applyFont="1" applyAlignment="1">
      <alignment horizontal="right" vertical="center"/>
    </xf>
    <xf numFmtId="216" fontId="4" fillId="0" borderId="0" xfId="4" applyNumberFormat="1" applyFont="1" applyAlignment="1">
      <alignment vertical="center"/>
    </xf>
    <xf numFmtId="216" fontId="101" fillId="0" borderId="0" xfId="4" quotePrefix="1" applyNumberFormat="1" applyFont="1" applyAlignment="1">
      <alignment vertical="center"/>
    </xf>
    <xf numFmtId="216" fontId="101" fillId="0" borderId="0" xfId="4" applyNumberFormat="1" applyFont="1" applyAlignment="1">
      <alignment vertical="center"/>
    </xf>
    <xf numFmtId="216" fontId="101" fillId="0" borderId="0" xfId="4" applyNumberFormat="1" applyFont="1" applyBorder="1" applyAlignment="1">
      <alignment vertical="center"/>
    </xf>
    <xf numFmtId="216" fontId="4" fillId="0" borderId="0" xfId="4" applyNumberFormat="1" applyFont="1" applyBorder="1" applyAlignment="1">
      <alignment vertical="center"/>
    </xf>
    <xf numFmtId="216" fontId="4" fillId="0" borderId="0" xfId="4" applyNumberFormat="1" applyFont="1" applyFill="1" applyAlignment="1">
      <alignment vertical="center"/>
    </xf>
    <xf numFmtId="216" fontId="101" fillId="0" borderId="2" xfId="4" applyNumberFormat="1" applyFont="1" applyBorder="1" applyAlignment="1">
      <alignment vertical="center"/>
    </xf>
    <xf numFmtId="216" fontId="4" fillId="0" borderId="2" xfId="4" applyNumberFormat="1" applyFont="1" applyBorder="1" applyAlignment="1">
      <alignment vertical="center"/>
    </xf>
    <xf numFmtId="216" fontId="4" fillId="0" borderId="4" xfId="4" applyNumberFormat="1" applyFont="1" applyBorder="1" applyAlignment="1">
      <alignment horizontal="center" vertical="center"/>
    </xf>
    <xf numFmtId="216" fontId="4" fillId="0" borderId="4" xfId="4" applyNumberFormat="1" applyFont="1" applyBorder="1" applyAlignment="1">
      <alignment vertical="center"/>
    </xf>
    <xf numFmtId="216" fontId="101" fillId="0" borderId="0" xfId="4" applyNumberFormat="1" applyFont="1" applyBorder="1" applyAlignment="1">
      <alignment horizontal="right" vertical="center"/>
    </xf>
    <xf numFmtId="216" fontId="102" fillId="0" borderId="0" xfId="4" applyNumberFormat="1" applyFont="1" applyAlignment="1">
      <alignment horizontal="center" vertical="center"/>
    </xf>
    <xf numFmtId="216" fontId="4" fillId="0" borderId="0" xfId="0" applyNumberFormat="1" applyFont="1" applyAlignment="1">
      <alignment horizontal="center" vertical="center"/>
    </xf>
    <xf numFmtId="216" fontId="101" fillId="0" borderId="0" xfId="4" quotePrefix="1" applyNumberFormat="1" applyFont="1" applyBorder="1" applyAlignment="1">
      <alignment horizontal="right" vertical="center"/>
    </xf>
    <xf numFmtId="216" fontId="101" fillId="0" borderId="0" xfId="4" applyNumberFormat="1" applyFont="1" applyFill="1" applyAlignment="1">
      <alignment vertical="center"/>
    </xf>
    <xf numFmtId="216" fontId="101" fillId="0" borderId="0" xfId="4" applyNumberFormat="1" applyFont="1" applyFill="1" applyBorder="1" applyAlignment="1">
      <alignment vertical="center"/>
    </xf>
    <xf numFmtId="216" fontId="4" fillId="0" borderId="0" xfId="4" applyNumberFormat="1" applyFont="1" applyFill="1" applyBorder="1" applyAlignment="1">
      <alignment horizontal="right" vertical="center"/>
    </xf>
    <xf numFmtId="216" fontId="101" fillId="0" borderId="0" xfId="4" quotePrefix="1" applyNumberFormat="1" applyFont="1" applyFill="1" applyBorder="1" applyAlignment="1">
      <alignment horizontal="right" vertical="center"/>
    </xf>
    <xf numFmtId="216" fontId="4" fillId="0" borderId="0" xfId="4" quotePrefix="1" applyNumberFormat="1" applyFont="1" applyFill="1" applyBorder="1" applyAlignment="1">
      <alignment horizontal="right" vertical="center"/>
    </xf>
    <xf numFmtId="216" fontId="4" fillId="0" borderId="0" xfId="4" applyNumberFormat="1" applyFont="1" applyFill="1" applyBorder="1" applyAlignment="1">
      <alignment horizontal="left" vertical="center"/>
    </xf>
    <xf numFmtId="216" fontId="4" fillId="0" borderId="0" xfId="4" quotePrefix="1" applyNumberFormat="1" applyFont="1" applyAlignment="1">
      <alignment vertical="center"/>
    </xf>
    <xf numFmtId="216" fontId="4" fillId="0" borderId="0" xfId="4" quotePrefix="1" applyNumberFormat="1" applyFont="1" applyFill="1" applyBorder="1" applyAlignment="1">
      <alignment horizontal="left" vertical="center"/>
    </xf>
    <xf numFmtId="216" fontId="4" fillId="0" borderId="0" xfId="4" applyNumberFormat="1" applyFont="1" applyFill="1" applyBorder="1" applyAlignment="1">
      <alignment horizontal="center" vertical="center"/>
    </xf>
    <xf numFmtId="216" fontId="4" fillId="0" borderId="0" xfId="4" applyNumberFormat="1" applyFont="1" applyFill="1" applyBorder="1" applyAlignment="1">
      <alignment vertical="center"/>
    </xf>
    <xf numFmtId="216" fontId="4" fillId="0" borderId="0" xfId="4" quotePrefix="1" applyNumberFormat="1" applyFont="1" applyFill="1" applyBorder="1" applyAlignment="1">
      <alignment vertical="center"/>
    </xf>
    <xf numFmtId="216" fontId="4" fillId="0" borderId="4" xfId="4" applyNumberFormat="1" applyFont="1" applyFill="1" applyBorder="1" applyAlignment="1">
      <alignment vertical="center"/>
    </xf>
    <xf numFmtId="216" fontId="4" fillId="0" borderId="4" xfId="4" applyNumberFormat="1" applyFont="1" applyFill="1" applyBorder="1" applyAlignment="1">
      <alignment horizontal="center" vertical="center"/>
    </xf>
    <xf numFmtId="216" fontId="101" fillId="0" borderId="0" xfId="4" quotePrefix="1" applyNumberFormat="1" applyFont="1" applyBorder="1" applyAlignment="1">
      <alignment vertical="center"/>
    </xf>
    <xf numFmtId="216" fontId="4" fillId="0" borderId="4" xfId="4" applyNumberFormat="1" applyFont="1" applyBorder="1" applyAlignment="1">
      <alignment horizontal="right" vertical="center"/>
    </xf>
    <xf numFmtId="216" fontId="4" fillId="0" borderId="4" xfId="4" quotePrefix="1" applyNumberFormat="1" applyFont="1" applyBorder="1" applyAlignment="1">
      <alignment horizontal="right" vertical="center"/>
    </xf>
    <xf numFmtId="216" fontId="101" fillId="0" borderId="4" xfId="4" applyNumberFormat="1" applyFont="1" applyBorder="1" applyAlignment="1">
      <alignment horizontal="center" vertical="center"/>
    </xf>
    <xf numFmtId="216" fontId="4" fillId="0" borderId="37" xfId="4" applyNumberFormat="1" applyFont="1" applyBorder="1" applyAlignment="1">
      <alignment horizontal="right" vertical="center"/>
    </xf>
    <xf numFmtId="216" fontId="4" fillId="0" borderId="35" xfId="4" applyNumberFormat="1" applyFont="1" applyFill="1" applyBorder="1" applyAlignment="1">
      <alignment horizontal="right" vertical="center"/>
    </xf>
    <xf numFmtId="216" fontId="4" fillId="0" borderId="12" xfId="4" applyNumberFormat="1" applyFont="1" applyFill="1" applyBorder="1" applyAlignment="1">
      <alignment horizontal="right" vertical="center"/>
    </xf>
    <xf numFmtId="216" fontId="4" fillId="0" borderId="37" xfId="4" applyNumberFormat="1" applyFont="1" applyBorder="1" applyAlignment="1">
      <alignment vertical="center"/>
    </xf>
    <xf numFmtId="216" fontId="4" fillId="0" borderId="35" xfId="4" applyNumberFormat="1" applyFont="1" applyBorder="1" applyAlignment="1">
      <alignment vertical="center"/>
    </xf>
    <xf numFmtId="216" fontId="4" fillId="0" borderId="12" xfId="4" applyNumberFormat="1" applyFont="1" applyBorder="1" applyAlignment="1">
      <alignment vertical="center"/>
    </xf>
    <xf numFmtId="216" fontId="101" fillId="0" borderId="4" xfId="4" applyNumberFormat="1" applyFont="1" applyBorder="1" applyAlignment="1">
      <alignment vertical="center"/>
    </xf>
    <xf numFmtId="216" fontId="101" fillId="0" borderId="4" xfId="4" applyNumberFormat="1" applyFont="1" applyBorder="1" applyAlignment="1">
      <alignment horizontal="right" vertical="center"/>
    </xf>
    <xf numFmtId="216" fontId="4" fillId="0" borderId="38" xfId="4" applyNumberFormat="1" applyFont="1" applyBorder="1" applyAlignment="1">
      <alignment vertical="center"/>
    </xf>
    <xf numFmtId="216" fontId="4" fillId="0" borderId="37" xfId="4" quotePrefix="1" applyNumberFormat="1" applyFont="1" applyBorder="1" applyAlignment="1">
      <alignment horizontal="right" vertical="center"/>
    </xf>
    <xf numFmtId="216" fontId="4" fillId="0" borderId="38" xfId="4" applyNumberFormat="1" applyFont="1" applyFill="1" applyBorder="1" applyAlignment="1">
      <alignment horizontal="right" vertical="center"/>
    </xf>
    <xf numFmtId="216" fontId="4" fillId="0" borderId="50" xfId="4" quotePrefix="1" applyNumberFormat="1" applyFont="1" applyFill="1" applyBorder="1" applyAlignment="1">
      <alignment horizontal="right" vertical="center"/>
    </xf>
    <xf numFmtId="216" fontId="101" fillId="0" borderId="4" xfId="4" quotePrefix="1" applyNumberFormat="1" applyFont="1" applyBorder="1" applyAlignment="1">
      <alignment horizontal="right" vertical="center"/>
    </xf>
    <xf numFmtId="216" fontId="4" fillId="0" borderId="50" xfId="4" applyNumberFormat="1" applyFont="1" applyBorder="1" applyAlignment="1">
      <alignment vertical="center"/>
    </xf>
    <xf numFmtId="216" fontId="4" fillId="0" borderId="50" xfId="4" quotePrefix="1" applyNumberFormat="1" applyFont="1" applyBorder="1" applyAlignment="1">
      <alignment horizontal="right" vertical="center"/>
    </xf>
    <xf numFmtId="216" fontId="4" fillId="0" borderId="35" xfId="4" quotePrefix="1" applyNumberFormat="1" applyFont="1" applyBorder="1" applyAlignment="1">
      <alignment horizontal="right" vertical="center"/>
    </xf>
    <xf numFmtId="216" fontId="4" fillId="0" borderId="35" xfId="4" applyNumberFormat="1" applyFont="1" applyFill="1" applyBorder="1" applyAlignment="1">
      <alignment vertical="center"/>
    </xf>
    <xf numFmtId="216" fontId="4" fillId="0" borderId="35" xfId="4" quotePrefix="1" applyNumberFormat="1" applyFont="1" applyFill="1" applyBorder="1" applyAlignment="1">
      <alignment horizontal="right" vertical="center"/>
    </xf>
    <xf numFmtId="216" fontId="4" fillId="0" borderId="4" xfId="4" quotePrefix="1" applyNumberFormat="1" applyFont="1" applyFill="1" applyBorder="1" applyAlignment="1">
      <alignment horizontal="right" vertical="center"/>
    </xf>
    <xf numFmtId="216" fontId="101" fillId="0" borderId="4" xfId="4" applyNumberFormat="1" applyFont="1" applyFill="1" applyBorder="1" applyAlignment="1">
      <alignment vertical="center"/>
    </xf>
    <xf numFmtId="216" fontId="4" fillId="0" borderId="51" xfId="4" applyNumberFormat="1" applyFont="1" applyFill="1" applyBorder="1" applyAlignment="1">
      <alignment vertical="center"/>
    </xf>
    <xf numFmtId="216" fontId="4" fillId="0" borderId="51" xfId="4" quotePrefix="1" applyNumberFormat="1" applyFont="1" applyFill="1" applyBorder="1" applyAlignment="1">
      <alignment horizontal="right" vertical="center"/>
    </xf>
    <xf numFmtId="217" fontId="28" fillId="0" borderId="0" xfId="188" applyNumberFormat="1" applyFont="1">
      <alignment vertical="center"/>
    </xf>
    <xf numFmtId="217" fontId="32" fillId="0" borderId="0" xfId="188" applyNumberFormat="1" applyFont="1">
      <alignment vertical="center"/>
    </xf>
    <xf numFmtId="217" fontId="28" fillId="0" borderId="52" xfId="188" applyNumberFormat="1" applyFont="1" applyBorder="1">
      <alignment vertical="center"/>
    </xf>
    <xf numFmtId="217" fontId="28" fillId="0" borderId="52" xfId="188" applyNumberFormat="1" applyFont="1" applyBorder="1" applyAlignment="1">
      <alignment horizontal="center" vertical="center"/>
    </xf>
    <xf numFmtId="217" fontId="32" fillId="0" borderId="52" xfId="188" applyNumberFormat="1" applyFont="1" applyBorder="1">
      <alignment vertical="center"/>
    </xf>
    <xf numFmtId="217" fontId="30" fillId="0" borderId="52" xfId="188" applyNumberFormat="1" applyFont="1" applyBorder="1">
      <alignment vertical="center"/>
    </xf>
    <xf numFmtId="217" fontId="33" fillId="0" borderId="52" xfId="188" applyNumberFormat="1" applyFont="1" applyBorder="1">
      <alignment vertical="center"/>
    </xf>
    <xf numFmtId="217" fontId="28" fillId="0" borderId="53" xfId="188" applyNumberFormat="1" applyFont="1" applyBorder="1">
      <alignment vertical="center"/>
    </xf>
    <xf numFmtId="217" fontId="32" fillId="0" borderId="53" xfId="188" applyNumberFormat="1" applyFont="1" applyBorder="1">
      <alignment vertical="center"/>
    </xf>
    <xf numFmtId="217" fontId="28" fillId="0" borderId="35" xfId="188" applyNumberFormat="1" applyFont="1" applyBorder="1">
      <alignment vertical="center"/>
    </xf>
    <xf numFmtId="217" fontId="32" fillId="0" borderId="35" xfId="188" applyNumberFormat="1" applyFont="1" applyBorder="1">
      <alignment vertical="center"/>
    </xf>
    <xf numFmtId="217" fontId="28" fillId="0" borderId="35" xfId="188" applyNumberFormat="1" applyFont="1" applyFill="1" applyBorder="1">
      <alignment vertical="center"/>
    </xf>
    <xf numFmtId="217" fontId="28" fillId="0" borderId="38" xfId="188" applyNumberFormat="1" applyFont="1" applyBorder="1">
      <alignment vertical="center"/>
    </xf>
    <xf numFmtId="217" fontId="28" fillId="0" borderId="38" xfId="188" applyNumberFormat="1" applyFont="1" applyFill="1" applyBorder="1">
      <alignment vertical="center"/>
    </xf>
    <xf numFmtId="217" fontId="32" fillId="0" borderId="38" xfId="188" applyNumberFormat="1" applyFont="1" applyBorder="1">
      <alignment vertical="center"/>
    </xf>
    <xf numFmtId="217" fontId="30" fillId="0" borderId="53" xfId="188" applyNumberFormat="1" applyFont="1" applyBorder="1">
      <alignment vertical="center"/>
    </xf>
    <xf numFmtId="217" fontId="33" fillId="0" borderId="53" xfId="188" applyNumberFormat="1" applyFont="1" applyBorder="1">
      <alignment vertical="center"/>
    </xf>
    <xf numFmtId="217" fontId="30" fillId="0" borderId="53" xfId="135" applyNumberFormat="1" applyFont="1" applyBorder="1">
      <alignment vertical="center"/>
    </xf>
    <xf numFmtId="217" fontId="28" fillId="0" borderId="54" xfId="188" applyNumberFormat="1" applyFont="1" applyBorder="1" applyAlignment="1">
      <alignment horizontal="center" vertical="center"/>
    </xf>
    <xf numFmtId="217" fontId="28" fillId="0" borderId="55" xfId="188" applyNumberFormat="1" applyFont="1" applyBorder="1" applyAlignment="1">
      <alignment horizontal="center" vertical="center"/>
    </xf>
    <xf numFmtId="217" fontId="28" fillId="0" borderId="54" xfId="188" quotePrefix="1" applyNumberFormat="1" applyFont="1" applyBorder="1">
      <alignment vertical="center"/>
    </xf>
    <xf numFmtId="217" fontId="28" fillId="0" borderId="55" xfId="188" applyNumberFormat="1" applyFont="1" applyBorder="1">
      <alignment vertical="center"/>
    </xf>
    <xf numFmtId="217" fontId="28" fillId="0" borderId="52" xfId="188" quotePrefix="1" applyNumberFormat="1" applyFont="1" applyBorder="1">
      <alignment vertical="center"/>
    </xf>
    <xf numFmtId="217" fontId="28" fillId="0" borderId="54" xfId="188" applyNumberFormat="1" applyFont="1" applyBorder="1">
      <alignment vertical="center"/>
    </xf>
    <xf numFmtId="217" fontId="30" fillId="0" borderId="55" xfId="188" applyNumberFormat="1" applyFont="1" applyBorder="1">
      <alignment vertical="center"/>
    </xf>
    <xf numFmtId="216" fontId="28" fillId="0" borderId="0" xfId="2" applyNumberFormat="1" applyFont="1" applyBorder="1" applyAlignment="1">
      <alignment vertical="center"/>
    </xf>
    <xf numFmtId="182" fontId="28" fillId="0" borderId="0" xfId="1" applyNumberFormat="1" applyFont="1" applyBorder="1" applyAlignment="1">
      <alignment vertical="center"/>
    </xf>
    <xf numFmtId="216" fontId="30" fillId="0" borderId="0" xfId="2" applyNumberFormat="1" applyFont="1" applyBorder="1" applyAlignment="1">
      <alignment vertical="center"/>
    </xf>
    <xf numFmtId="218" fontId="28" fillId="0" borderId="0" xfId="0" applyNumberFormat="1" applyFont="1" applyBorder="1" applyAlignment="1">
      <alignment vertical="center"/>
    </xf>
    <xf numFmtId="216" fontId="30" fillId="0" borderId="0" xfId="0" quotePrefix="1" applyNumberFormat="1" applyFont="1" applyAlignment="1">
      <alignment vertical="center"/>
    </xf>
    <xf numFmtId="216" fontId="28" fillId="0" borderId="9" xfId="1" applyNumberFormat="1" applyFont="1" applyBorder="1" applyAlignment="1">
      <alignment horizontal="center" vertical="center"/>
    </xf>
    <xf numFmtId="216" fontId="30" fillId="0" borderId="0" xfId="0" applyNumberFormat="1" applyFont="1" applyBorder="1" applyAlignment="1">
      <alignment vertical="center"/>
    </xf>
    <xf numFmtId="216" fontId="30" fillId="0" borderId="0" xfId="1" applyNumberFormat="1" applyFont="1" applyBorder="1" applyAlignment="1">
      <alignment horizontal="center" vertical="center"/>
    </xf>
    <xf numFmtId="216" fontId="30" fillId="0" borderId="0" xfId="0" applyNumberFormat="1" applyFont="1" applyBorder="1" applyAlignment="1">
      <alignment horizontal="center" vertical="center"/>
    </xf>
    <xf numFmtId="216" fontId="30" fillId="0" borderId="0" xfId="1" applyNumberFormat="1" applyFont="1" applyBorder="1" applyAlignment="1">
      <alignment vertical="center"/>
    </xf>
    <xf numFmtId="216" fontId="28" fillId="0" borderId="9" xfId="316" applyNumberFormat="1" applyFont="1" applyBorder="1" applyAlignment="1">
      <alignment horizontal="center" vertical="center"/>
    </xf>
    <xf numFmtId="216" fontId="28" fillId="0" borderId="0" xfId="316" applyNumberFormat="1" applyFont="1" applyBorder="1" applyAlignment="1">
      <alignment horizontal="center" vertical="center"/>
    </xf>
    <xf numFmtId="216" fontId="28" fillId="0" borderId="9" xfId="317" applyNumberFormat="1" applyFont="1" applyBorder="1" applyAlignment="1">
      <alignment horizontal="center" vertical="center"/>
    </xf>
    <xf numFmtId="216" fontId="28" fillId="0" borderId="0" xfId="317" applyNumberFormat="1" applyFont="1" applyBorder="1" applyAlignment="1">
      <alignment horizontal="center" vertical="center"/>
    </xf>
    <xf numFmtId="216" fontId="28" fillId="0" borderId="0" xfId="316" applyNumberFormat="1" applyFont="1" applyBorder="1" applyAlignment="1">
      <alignment vertical="center" wrapText="1"/>
    </xf>
    <xf numFmtId="216" fontId="28" fillId="0" borderId="9" xfId="316" applyNumberFormat="1" applyFont="1" applyBorder="1" applyAlignment="1">
      <alignment horizontal="center" vertical="center" wrapText="1"/>
    </xf>
    <xf numFmtId="216" fontId="30" fillId="0" borderId="0" xfId="2" applyNumberFormat="1" applyFont="1" applyBorder="1" applyAlignment="1">
      <alignment horizontal="center" vertical="center"/>
    </xf>
    <xf numFmtId="216" fontId="28" fillId="0" borderId="0" xfId="316" applyNumberFormat="1" applyFont="1" applyBorder="1" applyAlignment="1">
      <alignment vertical="center"/>
    </xf>
    <xf numFmtId="216" fontId="28" fillId="0" borderId="0" xfId="317" applyNumberFormat="1" applyFont="1" applyBorder="1" applyAlignment="1">
      <alignment vertical="center"/>
    </xf>
    <xf numFmtId="216" fontId="28" fillId="0" borderId="0" xfId="316" applyNumberFormat="1" applyFont="1" applyBorder="1" applyAlignment="1">
      <alignment horizontal="center" vertical="center" wrapText="1"/>
    </xf>
    <xf numFmtId="216" fontId="23" fillId="0" borderId="0" xfId="0" applyNumberFormat="1" applyFont="1" applyAlignment="1">
      <alignment vertical="center"/>
    </xf>
    <xf numFmtId="216" fontId="30" fillId="0" borderId="0" xfId="316" applyNumberFormat="1" applyFont="1" applyBorder="1" applyAlignment="1">
      <alignment vertical="center"/>
    </xf>
    <xf numFmtId="216" fontId="28" fillId="0" borderId="0" xfId="2" applyNumberFormat="1" applyFont="1" applyBorder="1" applyAlignment="1">
      <alignment horizontal="center" vertical="center"/>
    </xf>
    <xf numFmtId="216" fontId="108" fillId="0" borderId="56" xfId="316" applyNumberFormat="1" applyFont="1" applyBorder="1" applyAlignment="1">
      <alignment vertical="center"/>
    </xf>
    <xf numFmtId="219" fontId="109" fillId="0" borderId="0" xfId="317" applyNumberFormat="1" applyFont="1" applyBorder="1" applyAlignment="1">
      <alignment vertical="center"/>
    </xf>
    <xf numFmtId="216" fontId="28" fillId="0" borderId="0" xfId="317" applyNumberFormat="1" applyFont="1" applyBorder="1" applyAlignment="1">
      <alignment horizontal="right" vertical="center"/>
    </xf>
    <xf numFmtId="219" fontId="28" fillId="0" borderId="0" xfId="317" applyNumberFormat="1" applyFont="1" applyBorder="1" applyAlignment="1">
      <alignment vertical="center"/>
    </xf>
    <xf numFmtId="220" fontId="28" fillId="0" borderId="0" xfId="317" applyNumberFormat="1" applyFont="1" applyBorder="1" applyAlignment="1">
      <alignment vertical="center"/>
    </xf>
    <xf numFmtId="216" fontId="30" fillId="2" borderId="1" xfId="0" applyNumberFormat="1" applyFont="1" applyFill="1" applyBorder="1" applyAlignment="1">
      <alignment horizontal="centerContinuous" vertical="center"/>
    </xf>
    <xf numFmtId="216" fontId="30" fillId="2" borderId="2" xfId="0" applyNumberFormat="1" applyFont="1" applyFill="1" applyBorder="1" applyAlignment="1">
      <alignment horizontal="centerContinuous" vertical="center"/>
    </xf>
    <xf numFmtId="216" fontId="30" fillId="2" borderId="1" xfId="4" applyNumberFormat="1" applyFont="1" applyFill="1" applyBorder="1" applyAlignment="1">
      <alignment horizontal="center" vertical="center"/>
    </xf>
    <xf numFmtId="216" fontId="30" fillId="2" borderId="4" xfId="4" applyNumberFormat="1" applyFont="1" applyFill="1" applyBorder="1" applyAlignment="1">
      <alignment horizontal="center" vertical="center"/>
    </xf>
    <xf numFmtId="216" fontId="30" fillId="2" borderId="1" xfId="4" applyNumberFormat="1" applyFont="1" applyFill="1" applyBorder="1" applyAlignment="1">
      <alignment horizontal="centerContinuous" vertical="center"/>
    </xf>
    <xf numFmtId="216" fontId="28" fillId="0" borderId="3" xfId="0" applyNumberFormat="1" applyFont="1" applyBorder="1" applyAlignment="1">
      <alignment vertical="center"/>
    </xf>
    <xf numFmtId="216" fontId="28" fillId="0" borderId="4" xfId="0" applyNumberFormat="1" applyFont="1" applyBorder="1" applyAlignment="1">
      <alignment vertical="center"/>
    </xf>
    <xf numFmtId="216" fontId="28" fillId="0" borderId="1" xfId="0" applyNumberFormat="1" applyFont="1" applyBorder="1" applyAlignment="1">
      <alignment vertical="center"/>
    </xf>
    <xf numFmtId="216" fontId="31" fillId="0" borderId="4" xfId="0" applyNumberFormat="1" applyFont="1" applyBorder="1" applyAlignment="1">
      <alignment horizontal="center" vertical="center" wrapText="1"/>
    </xf>
    <xf numFmtId="216" fontId="34" fillId="0" borderId="15" xfId="0" applyNumberFormat="1" applyFont="1" applyBorder="1" applyAlignment="1">
      <alignment horizontal="left" vertical="center" wrapText="1"/>
    </xf>
    <xf numFmtId="216" fontId="30" fillId="0" borderId="0" xfId="0" applyNumberFormat="1" applyFont="1" applyAlignment="1">
      <alignment horizontal="left" vertical="center"/>
    </xf>
    <xf numFmtId="216" fontId="31" fillId="0" borderId="15" xfId="0" applyNumberFormat="1" applyFont="1" applyBorder="1" applyAlignment="1">
      <alignment horizontal="left" vertical="center" wrapText="1"/>
    </xf>
    <xf numFmtId="216" fontId="28" fillId="0" borderId="0" xfId="0" applyNumberFormat="1" applyFont="1" applyAlignment="1">
      <alignment horizontal="left" vertical="center"/>
    </xf>
    <xf numFmtId="216" fontId="31" fillId="0" borderId="13" xfId="0" applyNumberFormat="1" applyFont="1" applyBorder="1" applyAlignment="1">
      <alignment horizontal="left" vertical="center" wrapText="1"/>
    </xf>
    <xf numFmtId="216" fontId="31" fillId="0" borderId="0" xfId="0" applyNumberFormat="1" applyFont="1" applyBorder="1" applyAlignment="1">
      <alignment horizontal="left" vertical="center" wrapText="1"/>
    </xf>
    <xf numFmtId="216" fontId="31" fillId="0" borderId="14" xfId="0" applyNumberFormat="1" applyFont="1" applyBorder="1" applyAlignment="1">
      <alignment horizontal="left" vertical="center" wrapText="1"/>
    </xf>
    <xf numFmtId="216" fontId="31" fillId="0" borderId="13" xfId="0" quotePrefix="1" applyNumberFormat="1" applyFont="1" applyBorder="1" applyAlignment="1">
      <alignment horizontal="left" vertical="center" wrapText="1"/>
    </xf>
    <xf numFmtId="216" fontId="31" fillId="0" borderId="12" xfId="0" applyNumberFormat="1" applyFont="1" applyBorder="1" applyAlignment="1">
      <alignment horizontal="left" vertical="center" wrapText="1"/>
    </xf>
    <xf numFmtId="216" fontId="6" fillId="0" borderId="15" xfId="0" applyNumberFormat="1" applyFont="1" applyBorder="1" applyAlignment="1">
      <alignment horizontal="right"/>
    </xf>
    <xf numFmtId="216" fontId="6" fillId="0" borderId="16" xfId="0" applyNumberFormat="1" applyFont="1" applyBorder="1" applyAlignment="1">
      <alignment horizontal="right"/>
    </xf>
    <xf numFmtId="216" fontId="6" fillId="0" borderId="15" xfId="1" applyNumberFormat="1" applyFont="1" applyBorder="1" applyAlignment="1">
      <alignment horizontal="right"/>
    </xf>
    <xf numFmtId="216" fontId="6" fillId="0" borderId="12" xfId="1" applyNumberFormat="1" applyFont="1" applyBorder="1" applyAlignment="1">
      <alignment horizontal="right"/>
    </xf>
    <xf numFmtId="216" fontId="6" fillId="0" borderId="13" xfId="6" applyNumberFormat="1" applyFont="1" applyFill="1" applyBorder="1" applyAlignment="1">
      <alignment horizontal="center"/>
    </xf>
    <xf numFmtId="216" fontId="6" fillId="0" borderId="25" xfId="0" applyNumberFormat="1" applyFont="1" applyBorder="1" applyAlignment="1">
      <alignment horizontal="right"/>
    </xf>
    <xf numFmtId="216" fontId="6" fillId="0" borderId="15" xfId="0" applyNumberFormat="1" applyFont="1" applyBorder="1" applyAlignment="1">
      <alignment horizontal="centerContinuous"/>
    </xf>
    <xf numFmtId="216" fontId="6" fillId="0" borderId="4" xfId="1" applyNumberFormat="1" applyFont="1" applyBorder="1" applyAlignment="1">
      <alignment horizontal="right"/>
    </xf>
    <xf numFmtId="216" fontId="6" fillId="0" borderId="15" xfId="0" quotePrefix="1" applyNumberFormat="1" applyFont="1" applyBorder="1" applyAlignment="1">
      <alignment horizontal="right"/>
    </xf>
    <xf numFmtId="216" fontId="6" fillId="0" borderId="18" xfId="1" applyNumberFormat="1" applyFont="1" applyBorder="1" applyAlignment="1">
      <alignment horizontal="right"/>
    </xf>
    <xf numFmtId="216" fontId="6" fillId="0" borderId="12" xfId="0" applyNumberFormat="1" applyFont="1" applyBorder="1" applyAlignment="1">
      <alignment horizontal="right"/>
    </xf>
    <xf numFmtId="216" fontId="6" fillId="0" borderId="17" xfId="1" applyNumberFormat="1" applyFont="1" applyBorder="1" applyAlignment="1">
      <alignment horizontal="right"/>
    </xf>
    <xf numFmtId="216" fontId="6" fillId="0" borderId="12" xfId="0" quotePrefix="1" applyNumberFormat="1" applyFont="1" applyBorder="1" applyAlignment="1">
      <alignment horizontal="right"/>
    </xf>
    <xf numFmtId="216" fontId="6" fillId="0" borderId="0" xfId="0" applyNumberFormat="1" applyFont="1" applyAlignment="1">
      <alignment horizontal="right"/>
    </xf>
    <xf numFmtId="216" fontId="6" fillId="30" borderId="4" xfId="0" applyNumberFormat="1" applyFont="1" applyFill="1" applyBorder="1" applyAlignment="1">
      <alignment horizontal="right"/>
    </xf>
    <xf numFmtId="216" fontId="6" fillId="0" borderId="16" xfId="1" applyNumberFormat="1" applyFont="1" applyBorder="1" applyAlignment="1">
      <alignment horizontal="right"/>
    </xf>
    <xf numFmtId="216" fontId="28" fillId="2" borderId="12" xfId="4" applyNumberFormat="1" applyFont="1" applyFill="1" applyBorder="1" applyAlignment="1">
      <alignment horizontal="center" vertical="center"/>
    </xf>
    <xf numFmtId="0" fontId="28" fillId="0" borderId="0" xfId="190" applyFont="1" applyAlignment="1">
      <alignment vertical="center"/>
    </xf>
    <xf numFmtId="0" fontId="111" fillId="0" borderId="0" xfId="190" applyFont="1" applyAlignment="1">
      <alignment vertical="center"/>
    </xf>
    <xf numFmtId="0" fontId="112" fillId="0" borderId="0" xfId="190" applyFont="1" applyAlignment="1">
      <alignment vertical="center"/>
    </xf>
    <xf numFmtId="0" fontId="112" fillId="0" borderId="0" xfId="190" applyFont="1" applyBorder="1" applyAlignment="1">
      <alignment vertical="center"/>
    </xf>
    <xf numFmtId="176" fontId="30" fillId="2" borderId="52" xfId="4" applyNumberFormat="1" applyFont="1" applyFill="1" applyBorder="1" applyAlignment="1">
      <alignment horizontal="centerContinuous" vertical="center"/>
    </xf>
    <xf numFmtId="0" fontId="28" fillId="0" borderId="52" xfId="190" applyFont="1" applyBorder="1" applyAlignment="1">
      <alignment horizontal="centerContinuous" vertical="center"/>
    </xf>
    <xf numFmtId="216" fontId="28" fillId="0" borderId="0" xfId="190" applyNumberFormat="1" applyFont="1" applyAlignment="1">
      <alignment vertical="center"/>
    </xf>
    <xf numFmtId="216" fontId="30" fillId="0" borderId="0" xfId="318" applyNumberFormat="1" applyFont="1" applyBorder="1" applyAlignment="1">
      <alignment horizontal="center" vertical="center"/>
    </xf>
    <xf numFmtId="216" fontId="111" fillId="0" borderId="0" xfId="190" applyNumberFormat="1" applyFont="1" applyAlignment="1">
      <alignment vertical="center"/>
    </xf>
    <xf numFmtId="216" fontId="30" fillId="30" borderId="0" xfId="318" applyNumberFormat="1" applyFont="1" applyFill="1" applyBorder="1" applyAlignment="1">
      <alignment vertical="center"/>
    </xf>
    <xf numFmtId="216" fontId="112" fillId="0" borderId="0" xfId="190" applyNumberFormat="1" applyFont="1" applyAlignment="1">
      <alignment vertical="center"/>
    </xf>
    <xf numFmtId="216" fontId="28" fillId="0" borderId="0" xfId="318" applyNumberFormat="1" applyFont="1" applyFill="1" applyBorder="1" applyAlignment="1">
      <alignment vertical="center"/>
    </xf>
    <xf numFmtId="216" fontId="28" fillId="0" borderId="0" xfId="190" quotePrefix="1" applyNumberFormat="1" applyFont="1" applyBorder="1" applyAlignment="1">
      <alignment vertical="center"/>
    </xf>
    <xf numFmtId="216" fontId="112" fillId="0" borderId="0" xfId="190" applyNumberFormat="1" applyFont="1" applyBorder="1" applyAlignment="1">
      <alignment vertical="center"/>
    </xf>
    <xf numFmtId="216" fontId="28" fillId="0" borderId="0" xfId="318" applyNumberFormat="1" applyFont="1" applyBorder="1" applyAlignment="1">
      <alignment horizontal="center" vertical="center"/>
    </xf>
    <xf numFmtId="216" fontId="28" fillId="0" borderId="0" xfId="318" applyNumberFormat="1" applyFont="1" applyFill="1" applyBorder="1" applyAlignment="1" applyProtection="1">
      <alignment horizontal="center" vertical="center"/>
    </xf>
    <xf numFmtId="216" fontId="113" fillId="0" borderId="0" xfId="318" applyNumberFormat="1" applyFont="1" applyAlignment="1">
      <alignment horizontal="center" vertical="center"/>
    </xf>
    <xf numFmtId="216" fontId="28" fillId="0" borderId="0" xfId="318" applyNumberFormat="1" applyFont="1" applyAlignment="1">
      <alignment vertical="center"/>
    </xf>
    <xf numFmtId="216" fontId="113" fillId="0" borderId="0" xfId="318" applyNumberFormat="1" applyFont="1" applyBorder="1" applyAlignment="1">
      <alignment horizontal="center" vertical="center"/>
    </xf>
    <xf numFmtId="216" fontId="28" fillId="0" borderId="0" xfId="318" quotePrefix="1" applyNumberFormat="1" applyFont="1" applyBorder="1" applyAlignment="1">
      <alignment horizontal="center" vertical="center"/>
    </xf>
    <xf numFmtId="216" fontId="28" fillId="0" borderId="0" xfId="318" applyNumberFormat="1" applyFont="1" applyBorder="1" applyAlignment="1">
      <alignment vertical="center"/>
    </xf>
    <xf numFmtId="216" fontId="28" fillId="0" borderId="0" xfId="318" applyNumberFormat="1" applyFont="1" applyBorder="1" applyAlignment="1">
      <alignment horizontal="left" vertical="center"/>
    </xf>
    <xf numFmtId="0" fontId="28" fillId="0" borderId="0" xfId="190" applyFont="1" applyFill="1" applyAlignment="1">
      <alignment vertical="center"/>
    </xf>
    <xf numFmtId="216" fontId="30" fillId="0" borderId="0" xfId="318" applyNumberFormat="1" applyFont="1" applyFill="1" applyBorder="1" applyAlignment="1">
      <alignment horizontal="center" vertical="center"/>
    </xf>
    <xf numFmtId="216" fontId="30" fillId="0" borderId="0" xfId="318" applyNumberFormat="1" applyFont="1" applyFill="1" applyBorder="1" applyAlignment="1">
      <alignment vertical="center"/>
    </xf>
    <xf numFmtId="216" fontId="112" fillId="0" borderId="0" xfId="190" applyNumberFormat="1" applyFont="1" applyFill="1" applyAlignment="1">
      <alignment vertical="center"/>
    </xf>
    <xf numFmtId="216" fontId="28" fillId="0" borderId="0" xfId="318" quotePrefix="1" applyNumberFormat="1" applyFont="1" applyBorder="1" applyAlignment="1">
      <alignment vertical="center"/>
    </xf>
    <xf numFmtId="216" fontId="30" fillId="0" borderId="9" xfId="318" applyNumberFormat="1" applyFont="1" applyBorder="1" applyAlignment="1">
      <alignment horizontal="center" vertical="center"/>
    </xf>
    <xf numFmtId="221" fontId="30" fillId="0" borderId="9" xfId="318" applyNumberFormat="1" applyFont="1" applyBorder="1" applyAlignment="1">
      <alignment horizontal="center" vertical="center"/>
    </xf>
    <xf numFmtId="216" fontId="28" fillId="0" borderId="9" xfId="318" applyNumberFormat="1" applyFont="1" applyBorder="1" applyAlignment="1">
      <alignment vertical="center"/>
    </xf>
    <xf numFmtId="216" fontId="28" fillId="0" borderId="9" xfId="318" applyNumberFormat="1" applyFont="1" applyFill="1" applyBorder="1" applyAlignment="1">
      <alignment vertical="center"/>
    </xf>
    <xf numFmtId="216" fontId="28" fillId="0" borderId="0" xfId="318" applyNumberFormat="1" applyFont="1" applyBorder="1" applyAlignment="1">
      <alignment horizontal="centerContinuous" vertical="center"/>
    </xf>
    <xf numFmtId="10" fontId="28" fillId="0" borderId="0" xfId="318" quotePrefix="1" applyNumberFormat="1" applyFont="1" applyBorder="1" applyAlignment="1">
      <alignment horizontal="center" vertical="center"/>
    </xf>
    <xf numFmtId="216" fontId="28" fillId="0" borderId="9" xfId="318" applyNumberFormat="1" applyFont="1" applyBorder="1" applyAlignment="1">
      <alignment horizontal="center" vertical="center"/>
    </xf>
    <xf numFmtId="216" fontId="28" fillId="0" borderId="9" xfId="318" applyNumberFormat="1" applyFont="1" applyBorder="1" applyAlignment="1">
      <alignment horizontal="centerContinuous" vertical="center"/>
    </xf>
    <xf numFmtId="216" fontId="30" fillId="0" borderId="0" xfId="318" applyNumberFormat="1" applyFont="1" applyBorder="1" applyAlignment="1">
      <alignment vertical="center"/>
    </xf>
    <xf numFmtId="216" fontId="30" fillId="0" borderId="0" xfId="318" applyNumberFormat="1" applyFont="1" applyAlignment="1">
      <alignment vertical="center"/>
    </xf>
    <xf numFmtId="10" fontId="28" fillId="0" borderId="0" xfId="318" applyNumberFormat="1" applyFont="1" applyBorder="1" applyAlignment="1">
      <alignment horizontal="center" vertical="center"/>
    </xf>
    <xf numFmtId="216" fontId="28" fillId="0" borderId="0" xfId="318" quotePrefix="1" applyNumberFormat="1" applyFont="1" applyBorder="1" applyAlignment="1">
      <alignment horizontal="left" vertical="center"/>
    </xf>
    <xf numFmtId="10" fontId="28" fillId="0" borderId="0" xfId="318" applyNumberFormat="1" applyFont="1" applyBorder="1" applyAlignment="1" applyProtection="1">
      <alignment horizontal="center" vertical="center"/>
    </xf>
    <xf numFmtId="216" fontId="30" fillId="2" borderId="2" xfId="4" applyNumberFormat="1" applyFont="1" applyFill="1" applyBorder="1" applyAlignment="1">
      <alignment horizontal="centerContinuous" vertical="center"/>
    </xf>
    <xf numFmtId="216" fontId="30" fillId="0" borderId="9" xfId="0" applyNumberFormat="1" applyFont="1" applyBorder="1" applyAlignment="1">
      <alignment horizontal="center" vertical="center"/>
    </xf>
    <xf numFmtId="216" fontId="30" fillId="2" borderId="55" xfId="4" applyNumberFormat="1" applyFont="1" applyFill="1" applyBorder="1" applyAlignment="1">
      <alignment horizontal="centerContinuous" vertical="center"/>
    </xf>
    <xf numFmtId="216" fontId="30" fillId="2" borderId="57" xfId="4" applyNumberFormat="1" applyFont="1" applyFill="1" applyBorder="1" applyAlignment="1">
      <alignment horizontal="centerContinuous" vertical="center"/>
    </xf>
    <xf numFmtId="216" fontId="28" fillId="0" borderId="54" xfId="0" applyNumberFormat="1" applyFont="1" applyBorder="1" applyAlignment="1">
      <alignment horizontal="centerContinuous" vertical="center"/>
    </xf>
    <xf numFmtId="216" fontId="28" fillId="2" borderId="2" xfId="0" applyNumberFormat="1" applyFont="1" applyFill="1" applyBorder="1" applyAlignment="1">
      <alignment horizontal="centerContinuous" vertical="center"/>
    </xf>
    <xf numFmtId="216" fontId="28" fillId="0" borderId="9" xfId="0" applyNumberFormat="1" applyFont="1" applyBorder="1" applyAlignment="1">
      <alignment horizontal="center" vertical="center"/>
    </xf>
    <xf numFmtId="216" fontId="98" fillId="2" borderId="4" xfId="4" applyNumberFormat="1" applyFont="1" applyFill="1" applyBorder="1" applyAlignment="1">
      <alignment horizontal="center" vertical="center"/>
    </xf>
    <xf numFmtId="216" fontId="99" fillId="0" borderId="0" xfId="4" applyNumberFormat="1" applyFont="1" applyAlignment="1">
      <alignment vertical="center"/>
    </xf>
    <xf numFmtId="216" fontId="4" fillId="0" borderId="0" xfId="4" quotePrefix="1" applyNumberFormat="1" applyFont="1" applyBorder="1" applyAlignment="1">
      <alignment horizontal="right" vertical="center"/>
    </xf>
    <xf numFmtId="216" fontId="31" fillId="0" borderId="16" xfId="0" applyNumberFormat="1" applyFont="1" applyBorder="1" applyAlignment="1">
      <alignment horizontal="justify" vertical="center" wrapText="1"/>
    </xf>
    <xf numFmtId="216" fontId="31" fillId="0" borderId="15" xfId="0" applyNumberFormat="1" applyFont="1" applyBorder="1" applyAlignment="1">
      <alignment horizontal="justify" vertical="center" wrapText="1"/>
    </xf>
    <xf numFmtId="216" fontId="31" fillId="0" borderId="12" xfId="0" applyNumberFormat="1" applyFont="1" applyBorder="1" applyAlignment="1">
      <alignment horizontal="justify" vertical="center" wrapText="1"/>
    </xf>
    <xf numFmtId="216" fontId="28" fillId="2" borderId="12" xfId="4" applyNumberFormat="1" applyFont="1" applyFill="1" applyBorder="1" applyAlignment="1">
      <alignment horizontal="center" vertical="center"/>
    </xf>
    <xf numFmtId="216" fontId="30" fillId="2" borderId="52" xfId="4" applyNumberFormat="1" applyFont="1" applyFill="1" applyBorder="1" applyAlignment="1">
      <alignment horizontal="center" vertical="center"/>
    </xf>
    <xf numFmtId="216" fontId="114" fillId="0" borderId="0" xfId="1" quotePrefix="1" applyNumberFormat="1" applyFont="1" applyAlignment="1">
      <alignment horizontal="center" vertical="center"/>
    </xf>
    <xf numFmtId="216" fontId="114" fillId="0" borderId="0" xfId="1" applyNumberFormat="1" applyFont="1" applyAlignment="1">
      <alignment horizontal="center" vertical="center"/>
    </xf>
    <xf numFmtId="216" fontId="28" fillId="0" borderId="9" xfId="0" applyNumberFormat="1" applyFont="1" applyBorder="1" applyAlignment="1">
      <alignment horizontal="centerContinuous" vertical="center"/>
    </xf>
    <xf numFmtId="216" fontId="28" fillId="0" borderId="0" xfId="0" applyNumberFormat="1" applyFont="1" applyBorder="1" applyAlignment="1">
      <alignment horizontal="centerContinuous" vertical="center"/>
    </xf>
    <xf numFmtId="216" fontId="28" fillId="0" borderId="0" xfId="0" applyNumberFormat="1" applyFont="1" applyBorder="1" applyAlignment="1">
      <alignment horizontal="left" vertical="center"/>
    </xf>
    <xf numFmtId="216" fontId="28" fillId="2" borderId="52" xfId="4" applyNumberFormat="1" applyFont="1" applyFill="1" applyBorder="1" applyAlignment="1">
      <alignment horizontal="center" vertical="center"/>
    </xf>
    <xf numFmtId="216" fontId="30" fillId="0" borderId="52" xfId="0" applyNumberFormat="1" applyFont="1" applyBorder="1" applyAlignment="1">
      <alignment horizontal="centerContinuous" vertical="center"/>
    </xf>
    <xf numFmtId="216" fontId="30" fillId="0" borderId="9" xfId="1" applyNumberFormat="1" applyFont="1" applyBorder="1" applyAlignment="1">
      <alignment horizontal="centerContinuous" vertical="center"/>
    </xf>
    <xf numFmtId="216" fontId="30" fillId="0" borderId="9" xfId="1" quotePrefix="1" applyNumberFormat="1" applyFont="1" applyBorder="1" applyAlignment="1">
      <alignment horizontal="centerContinuous" vertical="center"/>
    </xf>
    <xf numFmtId="216" fontId="30" fillId="0" borderId="9" xfId="1" applyNumberFormat="1" applyFont="1" applyBorder="1" applyAlignment="1">
      <alignment horizontal="center" vertical="center"/>
    </xf>
    <xf numFmtId="216" fontId="28" fillId="0" borderId="0" xfId="1" quotePrefix="1" applyNumberFormat="1" applyFont="1" applyBorder="1" applyAlignment="1">
      <alignment vertical="center"/>
    </xf>
    <xf numFmtId="216" fontId="4" fillId="0" borderId="0" xfId="1" quotePrefix="1" applyNumberFormat="1" applyFont="1" applyAlignment="1">
      <alignment vertical="center"/>
    </xf>
    <xf numFmtId="216" fontId="30" fillId="0" borderId="0" xfId="1" applyNumberFormat="1" applyFont="1" applyBorder="1" applyAlignment="1">
      <alignment horizontal="centerContinuous" vertical="center"/>
    </xf>
    <xf numFmtId="216" fontId="30" fillId="0" borderId="0" xfId="1" quotePrefix="1" applyNumberFormat="1" applyFont="1" applyBorder="1" applyAlignment="1">
      <alignment horizontal="centerContinuous" vertical="center"/>
    </xf>
    <xf numFmtId="216" fontId="28" fillId="0" borderId="0" xfId="1" applyNumberFormat="1" applyFont="1" applyAlignment="1">
      <alignment horizontal="left" vertical="center"/>
    </xf>
    <xf numFmtId="0" fontId="28" fillId="0" borderId="0" xfId="0" applyFont="1" applyBorder="1">
      <alignment vertical="center"/>
    </xf>
    <xf numFmtId="3" fontId="28" fillId="0" borderId="0" xfId="0" applyNumberFormat="1" applyFont="1" applyBorder="1">
      <alignment vertical="center"/>
    </xf>
    <xf numFmtId="0" fontId="4" fillId="0" borderId="0" xfId="0" applyFont="1" applyFill="1" applyBorder="1">
      <alignment vertical="center"/>
    </xf>
    <xf numFmtId="0" fontId="30" fillId="0" borderId="0" xfId="0" applyFont="1" applyBorder="1">
      <alignment vertical="center"/>
    </xf>
    <xf numFmtId="0" fontId="33" fillId="0" borderId="0" xfId="0" applyFont="1" applyBorder="1">
      <alignment vertical="center"/>
    </xf>
    <xf numFmtId="0" fontId="30" fillId="0" borderId="0" xfId="0" applyFont="1" applyFill="1" applyBorder="1">
      <alignment vertical="center"/>
    </xf>
    <xf numFmtId="0" fontId="33" fillId="0" borderId="0" xfId="0" applyFont="1" applyFill="1" applyBorder="1">
      <alignment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14" fontId="28" fillId="0" borderId="0" xfId="0" applyNumberFormat="1" applyFont="1" applyBorder="1">
      <alignment vertical="center"/>
    </xf>
    <xf numFmtId="216" fontId="30" fillId="2" borderId="54" xfId="4" applyNumberFormat="1" applyFont="1" applyFill="1" applyBorder="1" applyAlignment="1">
      <alignment horizontal="centerContinuous" vertical="center"/>
    </xf>
    <xf numFmtId="14" fontId="28" fillId="2" borderId="55" xfId="4" quotePrefix="1" applyNumberFormat="1" applyFont="1" applyFill="1" applyBorder="1" applyAlignment="1">
      <alignment horizontal="centerContinuous" vertical="center"/>
    </xf>
    <xf numFmtId="14" fontId="28" fillId="2" borderId="54" xfId="4" quotePrefix="1" applyNumberFormat="1" applyFont="1" applyFill="1" applyBorder="1" applyAlignment="1">
      <alignment horizontal="centerContinuous" vertical="center"/>
    </xf>
    <xf numFmtId="216" fontId="28" fillId="2" borderId="12" xfId="4" applyNumberFormat="1" applyFont="1" applyFill="1" applyBorder="1" applyAlignment="1">
      <alignment horizontal="center" vertical="center"/>
    </xf>
    <xf numFmtId="216" fontId="28" fillId="2" borderId="12" xfId="4" applyNumberFormat="1" applyFont="1" applyFill="1" applyBorder="1" applyAlignment="1">
      <alignment horizontal="center" vertical="center"/>
    </xf>
    <xf numFmtId="216" fontId="28" fillId="2" borderId="12" xfId="4" applyNumberFormat="1" applyFont="1" applyFill="1" applyBorder="1" applyAlignment="1">
      <alignment horizontal="center" vertical="center"/>
    </xf>
    <xf numFmtId="216" fontId="4" fillId="0" borderId="0" xfId="1" quotePrefix="1" applyNumberFormat="1" applyFont="1" applyBorder="1" applyAlignment="1">
      <alignment vertical="center"/>
    </xf>
    <xf numFmtId="216" fontId="28" fillId="0" borderId="0" xfId="1" applyNumberFormat="1" applyFont="1" applyBorder="1" applyAlignment="1">
      <alignment horizontal="center" vertical="center"/>
    </xf>
    <xf numFmtId="216" fontId="28" fillId="0" borderId="0" xfId="1" quotePrefix="1" applyNumberFormat="1" applyFont="1" applyBorder="1" applyAlignment="1">
      <alignment horizontal="center" vertical="center"/>
    </xf>
    <xf numFmtId="216" fontId="4" fillId="0" borderId="0" xfId="1" quotePrefix="1" applyNumberFormat="1" applyFont="1" applyBorder="1" applyAlignment="1">
      <alignment horizontal="center" vertical="center"/>
    </xf>
    <xf numFmtId="216" fontId="4" fillId="0" borderId="0" xfId="1" quotePrefix="1" applyNumberFormat="1" applyFont="1" applyAlignment="1">
      <alignment horizontal="center" vertical="center"/>
    </xf>
    <xf numFmtId="216" fontId="101" fillId="0" borderId="9" xfId="4" applyNumberFormat="1" applyFont="1" applyBorder="1" applyAlignment="1">
      <alignment horizontal="center" vertical="center"/>
    </xf>
    <xf numFmtId="216" fontId="4" fillId="0" borderId="4" xfId="4" applyNumberFormat="1" applyFont="1" applyFill="1" applyBorder="1" applyAlignment="1">
      <alignment horizontal="centerContinuous" vertical="center"/>
    </xf>
    <xf numFmtId="216" fontId="4" fillId="0" borderId="0" xfId="4" applyNumberFormat="1" applyFont="1" applyFill="1" applyAlignment="1">
      <alignment horizontal="center" vertical="center"/>
    </xf>
    <xf numFmtId="222" fontId="101" fillId="2" borderId="55" xfId="4" applyNumberFormat="1" applyFont="1" applyFill="1" applyBorder="1" applyAlignment="1">
      <alignment horizontal="centerContinuous" vertical="center"/>
    </xf>
    <xf numFmtId="222" fontId="101" fillId="2" borderId="57" xfId="4" applyNumberFormat="1" applyFont="1" applyFill="1" applyBorder="1" applyAlignment="1">
      <alignment horizontal="centerContinuous" vertical="center"/>
    </xf>
    <xf numFmtId="222" fontId="101" fillId="2" borderId="52" xfId="4" applyNumberFormat="1" applyFont="1" applyFill="1" applyBorder="1" applyAlignment="1">
      <alignment horizontal="center" vertical="center"/>
    </xf>
    <xf numFmtId="222" fontId="4" fillId="0" borderId="0" xfId="183" applyNumberFormat="1" applyFont="1" applyAlignment="1">
      <alignment vertical="center"/>
    </xf>
    <xf numFmtId="216" fontId="101" fillId="2" borderId="4" xfId="4" applyNumberFormat="1" applyFont="1" applyFill="1" applyBorder="1" applyAlignment="1">
      <alignment horizontal="center" vertical="center"/>
    </xf>
    <xf numFmtId="216" fontId="115" fillId="0" borderId="0" xfId="183" applyNumberFormat="1" applyFont="1" applyAlignment="1">
      <alignment vertical="center"/>
    </xf>
    <xf numFmtId="216" fontId="4" fillId="0" borderId="0" xfId="183" applyNumberFormat="1" applyFont="1" applyAlignment="1">
      <alignment vertical="center"/>
    </xf>
    <xf numFmtId="216" fontId="101" fillId="0" borderId="54" xfId="183" applyNumberFormat="1" applyFont="1" applyBorder="1" applyAlignment="1">
      <alignment horizontal="centerContinuous" vertical="center"/>
    </xf>
    <xf numFmtId="216" fontId="101" fillId="0" borderId="52" xfId="183" applyNumberFormat="1" applyFont="1" applyBorder="1" applyAlignment="1">
      <alignment horizontal="centerContinuous" vertical="center"/>
    </xf>
    <xf numFmtId="216" fontId="101" fillId="0" borderId="55" xfId="183" applyNumberFormat="1" applyFont="1" applyBorder="1" applyAlignment="1">
      <alignment horizontal="centerContinuous" vertical="center"/>
    </xf>
    <xf numFmtId="216" fontId="101" fillId="0" borderId="54" xfId="183" applyNumberFormat="1" applyFont="1" applyBorder="1" applyAlignment="1">
      <alignment horizontal="center" vertical="center"/>
    </xf>
    <xf numFmtId="216" fontId="101" fillId="0" borderId="52" xfId="183" applyNumberFormat="1" applyFont="1" applyBorder="1" applyAlignment="1">
      <alignment horizontal="center" vertical="center"/>
    </xf>
    <xf numFmtId="216" fontId="101" fillId="0" borderId="55" xfId="183" applyNumberFormat="1" applyFont="1" applyBorder="1" applyAlignment="1">
      <alignment horizontal="center" vertical="center"/>
    </xf>
    <xf numFmtId="216" fontId="4" fillId="0" borderId="52" xfId="183" applyNumberFormat="1" applyFont="1" applyBorder="1" applyAlignment="1">
      <alignment horizontal="centerContinuous" vertical="center"/>
    </xf>
    <xf numFmtId="216" fontId="4" fillId="0" borderId="54" xfId="183" applyNumberFormat="1" applyFont="1" applyFill="1" applyBorder="1" applyAlignment="1">
      <alignment vertical="center" shrinkToFit="1"/>
    </xf>
    <xf numFmtId="216" fontId="4" fillId="0" borderId="52" xfId="319" applyNumberFormat="1" applyFont="1" applyFill="1" applyBorder="1" applyAlignment="1">
      <alignment vertical="center" shrinkToFit="1"/>
    </xf>
    <xf numFmtId="216" fontId="4" fillId="0" borderId="52" xfId="183" applyNumberFormat="1" applyFont="1" applyFill="1" applyBorder="1" applyAlignment="1">
      <alignment vertical="center" shrinkToFit="1"/>
    </xf>
    <xf numFmtId="216" fontId="4" fillId="0" borderId="54" xfId="183" applyNumberFormat="1" applyFont="1" applyBorder="1" applyAlignment="1">
      <alignment horizontal="center" vertical="center"/>
    </xf>
    <xf numFmtId="216" fontId="4" fillId="0" borderId="52" xfId="183" applyNumberFormat="1" applyFont="1" applyBorder="1" applyAlignment="1">
      <alignment horizontal="center" vertical="center"/>
    </xf>
    <xf numFmtId="216" fontId="4" fillId="0" borderId="55" xfId="183" applyNumberFormat="1" applyFont="1" applyBorder="1" applyAlignment="1">
      <alignment horizontal="center" vertical="center"/>
    </xf>
    <xf numFmtId="216" fontId="4" fillId="0" borderId="54" xfId="183" applyNumberFormat="1" applyFont="1" applyBorder="1" applyAlignment="1">
      <alignment vertical="center"/>
    </xf>
    <xf numFmtId="216" fontId="4" fillId="0" borderId="52" xfId="183" applyNumberFormat="1" applyFont="1" applyBorder="1" applyAlignment="1">
      <alignment vertical="center"/>
    </xf>
    <xf numFmtId="216" fontId="4" fillId="0" borderId="55" xfId="183" applyNumberFormat="1" applyFont="1" applyBorder="1" applyAlignment="1">
      <alignment vertical="center"/>
    </xf>
    <xf numFmtId="216" fontId="4" fillId="0" borderId="54" xfId="183" applyNumberFormat="1" applyFont="1" applyBorder="1" applyAlignment="1">
      <alignment vertical="center" shrinkToFit="1"/>
    </xf>
    <xf numFmtId="216" fontId="4" fillId="0" borderId="52" xfId="319" applyNumberFormat="1" applyFont="1" applyBorder="1" applyAlignment="1">
      <alignment vertical="center" shrinkToFit="1"/>
    </xf>
    <xf numFmtId="216" fontId="4" fillId="0" borderId="52" xfId="183" applyNumberFormat="1" applyFont="1" applyBorder="1">
      <alignment vertical="center"/>
    </xf>
    <xf numFmtId="216" fontId="4" fillId="0" borderId="52" xfId="183" applyNumberFormat="1" applyFont="1" applyBorder="1" applyAlignment="1">
      <alignment vertical="center" shrinkToFit="1"/>
    </xf>
    <xf numFmtId="216" fontId="4" fillId="0" borderId="55" xfId="183" applyNumberFormat="1" applyFont="1" applyBorder="1">
      <alignment vertical="center"/>
    </xf>
    <xf numFmtId="216" fontId="4" fillId="0" borderId="0" xfId="183" quotePrefix="1" applyNumberFormat="1" applyFont="1" applyAlignment="1">
      <alignment vertical="center"/>
    </xf>
    <xf numFmtId="216" fontId="4" fillId="0" borderId="0" xfId="296" applyNumberFormat="1" applyFont="1" applyBorder="1" applyAlignment="1">
      <alignment vertical="center"/>
    </xf>
    <xf numFmtId="216" fontId="28" fillId="0" borderId="0" xfId="183" quotePrefix="1" applyNumberFormat="1" applyFont="1" applyFill="1" applyBorder="1" applyAlignment="1">
      <alignment vertical="center"/>
    </xf>
    <xf numFmtId="216" fontId="28" fillId="0" borderId="0" xfId="183" applyNumberFormat="1" applyFont="1" applyFill="1" applyBorder="1" applyAlignment="1">
      <alignment vertical="center"/>
    </xf>
    <xf numFmtId="216" fontId="4" fillId="0" borderId="0" xfId="183" applyNumberFormat="1" applyFont="1" applyFill="1" applyBorder="1" applyAlignment="1">
      <alignment vertical="center"/>
    </xf>
    <xf numFmtId="216" fontId="28" fillId="0" borderId="9" xfId="183" applyNumberFormat="1" applyFont="1" applyFill="1" applyBorder="1" applyAlignment="1">
      <alignment horizontal="center" vertical="center"/>
    </xf>
    <xf numFmtId="216" fontId="4" fillId="0" borderId="9" xfId="183" applyNumberFormat="1" applyFont="1" applyFill="1" applyBorder="1" applyAlignment="1">
      <alignment vertical="center"/>
    </xf>
    <xf numFmtId="216" fontId="4" fillId="0" borderId="61" xfId="183" applyNumberFormat="1" applyFont="1" applyFill="1" applyBorder="1" applyAlignment="1">
      <alignment vertical="center"/>
    </xf>
    <xf numFmtId="216" fontId="4" fillId="0" borderId="0" xfId="296" applyNumberFormat="1" applyFont="1" applyFill="1" applyBorder="1" applyAlignment="1">
      <alignment vertical="center"/>
    </xf>
    <xf numFmtId="216" fontId="28" fillId="0" borderId="0" xfId="183" quotePrefix="1" applyNumberFormat="1" applyFont="1" applyAlignment="1">
      <alignment vertical="center"/>
    </xf>
    <xf numFmtId="216" fontId="28" fillId="0" borderId="0" xfId="183" quotePrefix="1" applyNumberFormat="1" applyFont="1" applyBorder="1" applyAlignment="1">
      <alignment vertical="center"/>
    </xf>
    <xf numFmtId="216" fontId="115" fillId="0" borderId="0" xfId="183" applyNumberFormat="1" applyFont="1" applyBorder="1" applyAlignment="1">
      <alignment vertical="center"/>
    </xf>
    <xf numFmtId="216" fontId="4" fillId="0" borderId="0" xfId="183" quotePrefix="1" applyNumberFormat="1" applyFont="1" applyBorder="1" applyAlignment="1">
      <alignment horizontal="right" vertical="center"/>
    </xf>
    <xf numFmtId="216" fontId="4" fillId="0" borderId="0" xfId="296" quotePrefix="1" applyNumberFormat="1" applyFont="1" applyFill="1" applyBorder="1" applyAlignment="1">
      <alignment vertical="center"/>
    </xf>
    <xf numFmtId="216" fontId="115" fillId="0" borderId="0" xfId="296" applyNumberFormat="1" applyFont="1" applyBorder="1" applyAlignment="1">
      <alignment vertical="center"/>
    </xf>
    <xf numFmtId="216" fontId="116" fillId="0" borderId="0" xfId="183" applyNumberFormat="1" applyFont="1" applyFill="1" applyBorder="1" applyAlignment="1">
      <alignment vertical="center"/>
    </xf>
    <xf numFmtId="216" fontId="4" fillId="0" borderId="0" xfId="296" applyNumberFormat="1" applyFont="1" applyAlignment="1">
      <alignment vertical="center"/>
    </xf>
    <xf numFmtId="216" fontId="4" fillId="0" borderId="0" xfId="183" applyNumberFormat="1" applyFont="1" applyBorder="1" applyAlignment="1">
      <alignment vertical="center"/>
    </xf>
    <xf numFmtId="216" fontId="4" fillId="0" borderId="9" xfId="183" applyNumberFormat="1" applyFont="1" applyFill="1" applyBorder="1" applyAlignment="1">
      <alignment horizontal="centerContinuous" vertical="center"/>
    </xf>
    <xf numFmtId="216" fontId="4" fillId="0" borderId="9" xfId="183" applyNumberFormat="1" applyFont="1" applyBorder="1" applyAlignment="1">
      <alignment horizontal="centerContinuous" vertical="center"/>
    </xf>
    <xf numFmtId="216" fontId="4" fillId="0" borderId="9" xfId="183" applyNumberFormat="1" applyFont="1" applyBorder="1" applyAlignment="1">
      <alignment vertical="center"/>
    </xf>
    <xf numFmtId="216" fontId="4" fillId="30" borderId="56" xfId="183" applyNumberFormat="1" applyFont="1" applyFill="1" applyBorder="1" applyAlignment="1">
      <alignment vertical="center"/>
    </xf>
    <xf numFmtId="216" fontId="4" fillId="0" borderId="0" xfId="183" quotePrefix="1" applyNumberFormat="1" applyFont="1" applyFill="1" applyBorder="1" applyAlignment="1">
      <alignment vertical="center"/>
    </xf>
    <xf numFmtId="216" fontId="4" fillId="0" borderId="54" xfId="296" applyNumberFormat="1" applyFont="1" applyBorder="1" applyAlignment="1">
      <alignment horizontal="center" vertical="center"/>
    </xf>
    <xf numFmtId="216" fontId="4" fillId="0" borderId="54" xfId="296" applyNumberFormat="1" applyFont="1" applyBorder="1" applyAlignment="1">
      <alignment vertical="center"/>
    </xf>
    <xf numFmtId="223" fontId="4" fillId="0" borderId="52" xfId="183" applyNumberFormat="1" applyFont="1" applyBorder="1" applyAlignment="1">
      <alignment vertical="center"/>
    </xf>
    <xf numFmtId="216" fontId="4" fillId="0" borderId="55" xfId="183" applyNumberFormat="1" applyFont="1" applyFill="1" applyBorder="1" applyAlignment="1">
      <alignment horizontal="center" vertical="center"/>
    </xf>
    <xf numFmtId="224" fontId="4" fillId="0" borderId="52" xfId="183" applyNumberFormat="1" applyFont="1" applyBorder="1" applyAlignment="1">
      <alignment horizontal="center" vertical="center"/>
    </xf>
    <xf numFmtId="216" fontId="4" fillId="32" borderId="0" xfId="183" applyNumberFormat="1" applyFont="1" applyFill="1" applyBorder="1" applyAlignment="1">
      <alignment vertical="center"/>
    </xf>
    <xf numFmtId="216" fontId="4" fillId="32" borderId="0" xfId="183" applyNumberFormat="1" applyFont="1" applyFill="1" applyAlignment="1">
      <alignment vertical="center"/>
    </xf>
    <xf numFmtId="216" fontId="4" fillId="32" borderId="9" xfId="183" applyNumberFormat="1" applyFont="1" applyFill="1" applyBorder="1" applyAlignment="1">
      <alignment vertical="center"/>
    </xf>
    <xf numFmtId="216" fontId="4" fillId="32" borderId="52" xfId="183" applyNumberFormat="1" applyFont="1" applyFill="1" applyBorder="1" applyAlignment="1">
      <alignment vertical="center"/>
    </xf>
    <xf numFmtId="216" fontId="4" fillId="32" borderId="55" xfId="183" applyNumberFormat="1" applyFont="1" applyFill="1" applyBorder="1" applyAlignment="1">
      <alignment vertical="center"/>
    </xf>
    <xf numFmtId="216" fontId="4" fillId="0" borderId="52" xfId="296" applyNumberFormat="1" applyFont="1" applyBorder="1" applyAlignment="1">
      <alignment horizontal="center" vertical="center"/>
    </xf>
    <xf numFmtId="216" fontId="28" fillId="0" borderId="54" xfId="183" applyNumberFormat="1" applyFont="1" applyFill="1" applyBorder="1" applyAlignment="1">
      <alignment horizontal="center" vertical="center"/>
    </xf>
    <xf numFmtId="216" fontId="28" fillId="0" borderId="55" xfId="183" applyNumberFormat="1" applyFont="1" applyFill="1" applyBorder="1" applyAlignment="1">
      <alignment horizontal="center" vertical="center"/>
    </xf>
    <xf numFmtId="216" fontId="28" fillId="0" borderId="54" xfId="183" applyNumberFormat="1" applyFont="1" applyFill="1" applyBorder="1" applyAlignment="1">
      <alignment vertical="center"/>
    </xf>
    <xf numFmtId="216" fontId="28" fillId="32" borderId="55" xfId="183" applyNumberFormat="1" applyFont="1" applyFill="1" applyBorder="1" applyAlignment="1">
      <alignment vertical="center"/>
    </xf>
    <xf numFmtId="216" fontId="28" fillId="0" borderId="55" xfId="183" applyNumberFormat="1" applyFont="1" applyFill="1" applyBorder="1" applyAlignment="1">
      <alignment vertical="center"/>
    </xf>
    <xf numFmtId="216" fontId="4" fillId="0" borderId="52" xfId="183" applyNumberFormat="1" applyFont="1" applyFill="1" applyBorder="1" applyAlignment="1">
      <alignment vertical="center"/>
    </xf>
    <xf numFmtId="216" fontId="4" fillId="0" borderId="0" xfId="183" applyNumberFormat="1" applyFont="1" applyBorder="1" applyAlignment="1">
      <alignment horizontal="centerContinuous" vertical="center"/>
    </xf>
    <xf numFmtId="216" fontId="4" fillId="0" borderId="0" xfId="183" applyNumberFormat="1" applyFont="1" applyBorder="1" applyAlignment="1">
      <alignment horizontal="center" vertical="center"/>
    </xf>
    <xf numFmtId="216" fontId="4" fillId="0" borderId="0" xfId="183" applyNumberFormat="1" applyFont="1" applyFill="1" applyBorder="1" applyAlignment="1">
      <alignment horizontal="center" vertical="center"/>
    </xf>
    <xf numFmtId="216" fontId="4" fillId="0" borderId="0" xfId="183" applyNumberFormat="1" applyFont="1" applyBorder="1">
      <alignment vertical="center"/>
    </xf>
    <xf numFmtId="223" fontId="4" fillId="0" borderId="0" xfId="183" applyNumberFormat="1" applyFont="1" applyBorder="1" applyAlignment="1">
      <alignment vertical="center"/>
    </xf>
    <xf numFmtId="216" fontId="115" fillId="0" borderId="0" xfId="183" applyNumberFormat="1" applyFont="1" applyFill="1" applyBorder="1" applyAlignment="1">
      <alignment vertical="center"/>
    </xf>
    <xf numFmtId="216" fontId="4" fillId="0" borderId="0" xfId="296" applyNumberFormat="1" applyFont="1" applyFill="1" applyBorder="1" applyAlignment="1">
      <alignment horizontal="center" vertical="center"/>
    </xf>
    <xf numFmtId="223" fontId="4" fillId="0" borderId="0" xfId="183" applyNumberFormat="1" applyFont="1" applyFill="1" applyBorder="1" applyAlignment="1">
      <alignment vertical="center"/>
    </xf>
    <xf numFmtId="224" fontId="4" fillId="0" borderId="0" xfId="183" applyNumberFormat="1" applyFont="1" applyFill="1" applyBorder="1" applyAlignment="1">
      <alignment horizontal="center" vertical="center"/>
    </xf>
    <xf numFmtId="216" fontId="4" fillId="0" borderId="55" xfId="183" applyNumberFormat="1" applyFont="1" applyFill="1" applyBorder="1" applyAlignment="1">
      <alignment vertical="center"/>
    </xf>
    <xf numFmtId="216" fontId="4" fillId="0" borderId="52" xfId="183" applyNumberFormat="1" applyFont="1" applyFill="1" applyBorder="1" applyAlignment="1">
      <alignment horizontal="centerContinuous" vertical="center"/>
    </xf>
    <xf numFmtId="216" fontId="28" fillId="0" borderId="54" xfId="183" quotePrefix="1" applyNumberFormat="1" applyFont="1" applyFill="1" applyBorder="1" applyAlignment="1">
      <alignment vertical="center"/>
    </xf>
    <xf numFmtId="216" fontId="28" fillId="0" borderId="52" xfId="183" applyNumberFormat="1" applyFont="1" applyFill="1" applyBorder="1" applyAlignment="1">
      <alignment vertical="center"/>
    </xf>
    <xf numFmtId="216" fontId="4" fillId="32" borderId="12" xfId="183" applyNumberFormat="1" applyFont="1" applyFill="1" applyBorder="1" applyAlignment="1">
      <alignment vertical="center"/>
    </xf>
    <xf numFmtId="216" fontId="28" fillId="32" borderId="52" xfId="183" applyNumberFormat="1" applyFont="1" applyFill="1" applyBorder="1" applyAlignment="1">
      <alignment vertical="center"/>
    </xf>
    <xf numFmtId="216" fontId="28" fillId="0" borderId="9" xfId="0" applyNumberFormat="1" applyFont="1" applyFill="1" applyBorder="1" applyAlignment="1">
      <alignment horizontal="centerContinuous" vertical="center"/>
    </xf>
    <xf numFmtId="216" fontId="28" fillId="0" borderId="57" xfId="0" applyNumberFormat="1" applyFont="1" applyFill="1" applyBorder="1" applyAlignment="1">
      <alignment horizontal="center" vertical="center"/>
    </xf>
    <xf numFmtId="216" fontId="28" fillId="0" borderId="54" xfId="0" quotePrefix="1" applyNumberFormat="1" applyFont="1" applyFill="1" applyBorder="1" applyAlignment="1">
      <alignment vertical="center"/>
    </xf>
    <xf numFmtId="216" fontId="28" fillId="0" borderId="52" xfId="0" applyNumberFormat="1" applyFont="1" applyFill="1" applyBorder="1" applyAlignment="1">
      <alignment vertical="center"/>
    </xf>
    <xf numFmtId="216" fontId="28" fillId="0" borderId="55" xfId="0" applyNumberFormat="1" applyFont="1" applyFill="1" applyBorder="1" applyAlignment="1">
      <alignment vertical="center"/>
    </xf>
    <xf numFmtId="216" fontId="28" fillId="0" borderId="54" xfId="0" applyNumberFormat="1" applyFont="1" applyFill="1" applyBorder="1" applyAlignment="1">
      <alignment vertical="center"/>
    </xf>
    <xf numFmtId="216" fontId="28" fillId="32" borderId="52" xfId="0" applyNumberFormat="1" applyFont="1" applyFill="1" applyBorder="1" applyAlignment="1">
      <alignment vertical="center"/>
    </xf>
    <xf numFmtId="216" fontId="28" fillId="0" borderId="54" xfId="183" applyNumberFormat="1" applyFont="1" applyFill="1" applyBorder="1" applyAlignment="1">
      <alignment horizontal="centerContinuous" vertical="center"/>
    </xf>
    <xf numFmtId="222" fontId="119" fillId="0" borderId="0" xfId="183" applyNumberFormat="1" applyFont="1" applyAlignment="1">
      <alignment vertical="center"/>
    </xf>
    <xf numFmtId="216" fontId="28" fillId="0" borderId="55" xfId="183" quotePrefix="1" applyNumberFormat="1" applyFont="1" applyFill="1" applyBorder="1" applyAlignment="1">
      <alignment vertical="center"/>
    </xf>
    <xf numFmtId="216" fontId="28" fillId="0" borderId="0" xfId="183" applyNumberFormat="1" applyFont="1" applyFill="1" applyBorder="1" applyAlignment="1">
      <alignment horizontal="center" vertical="center"/>
    </xf>
    <xf numFmtId="216" fontId="28" fillId="0" borderId="9" xfId="183" applyNumberFormat="1" applyFont="1" applyFill="1" applyBorder="1" applyAlignment="1">
      <alignment horizontal="center" vertical="center"/>
    </xf>
    <xf numFmtId="216" fontId="4" fillId="0" borderId="55" xfId="183" applyNumberFormat="1" applyFont="1" applyBorder="1" applyAlignment="1">
      <alignment horizontal="center" vertical="center"/>
    </xf>
    <xf numFmtId="216" fontId="28" fillId="0" borderId="0" xfId="0" applyNumberFormat="1" applyFont="1" applyFill="1" applyBorder="1" applyAlignment="1">
      <alignment horizontal="center" vertical="center"/>
    </xf>
    <xf numFmtId="216" fontId="28" fillId="0" borderId="9" xfId="0" applyNumberFormat="1" applyFont="1" applyFill="1" applyBorder="1" applyAlignment="1">
      <alignment horizontal="center" vertical="center"/>
    </xf>
    <xf numFmtId="216" fontId="28" fillId="0" borderId="0" xfId="183" applyNumberFormat="1" applyFont="1" applyFill="1" applyBorder="1" applyAlignment="1">
      <alignment vertical="center"/>
    </xf>
    <xf numFmtId="216" fontId="28" fillId="0" borderId="54" xfId="183" applyNumberFormat="1" applyFont="1" applyFill="1" applyBorder="1" applyAlignment="1">
      <alignment horizontal="center" vertical="center"/>
    </xf>
    <xf numFmtId="216" fontId="28" fillId="0" borderId="52" xfId="183" applyNumberFormat="1" applyFont="1" applyFill="1" applyBorder="1" applyAlignment="1">
      <alignment horizontal="center" vertical="center"/>
    </xf>
    <xf numFmtId="216" fontId="4" fillId="0" borderId="52" xfId="183" applyNumberFormat="1" applyFont="1" applyFill="1" applyBorder="1" applyAlignment="1">
      <alignment horizontal="center" vertical="center"/>
    </xf>
    <xf numFmtId="216" fontId="101" fillId="0" borderId="58" xfId="183" applyNumberFormat="1" applyFont="1" applyBorder="1" applyAlignment="1">
      <alignment horizontal="center" vertical="center"/>
    </xf>
    <xf numFmtId="216" fontId="28" fillId="0" borderId="52" xfId="183" applyNumberFormat="1" applyFont="1" applyFill="1" applyBorder="1" applyAlignment="1">
      <alignment horizontal="centerContinuous" vertical="center"/>
    </xf>
    <xf numFmtId="216" fontId="4" fillId="0" borderId="52" xfId="183" applyNumberFormat="1" applyFont="1" applyFill="1" applyBorder="1" applyAlignment="1">
      <alignment horizontal="center" vertical="center"/>
    </xf>
    <xf numFmtId="216" fontId="101" fillId="0" borderId="55" xfId="183" applyNumberFormat="1" applyFont="1" applyFill="1" applyBorder="1" applyAlignment="1">
      <alignment vertical="center"/>
    </xf>
    <xf numFmtId="216" fontId="30" fillId="30" borderId="54" xfId="183" applyNumberFormat="1" applyFont="1" applyFill="1" applyBorder="1" applyAlignment="1">
      <alignment vertical="center"/>
    </xf>
    <xf numFmtId="216" fontId="30" fillId="30" borderId="52" xfId="183" applyNumberFormat="1" applyFont="1" applyFill="1" applyBorder="1" applyAlignment="1">
      <alignment vertical="center"/>
    </xf>
    <xf numFmtId="216" fontId="101" fillId="30" borderId="55" xfId="183" applyNumberFormat="1" applyFont="1" applyFill="1" applyBorder="1" applyAlignment="1">
      <alignment vertical="center"/>
    </xf>
    <xf numFmtId="216" fontId="101" fillId="0" borderId="55" xfId="183" applyNumberFormat="1" applyFont="1" applyBorder="1" applyAlignment="1">
      <alignment vertical="center"/>
    </xf>
    <xf numFmtId="216" fontId="4" fillId="32" borderId="52" xfId="319" applyNumberFormat="1" applyFont="1" applyFill="1" applyBorder="1" applyAlignment="1">
      <alignment vertical="center" shrinkToFit="1"/>
    </xf>
    <xf numFmtId="223" fontId="4" fillId="0" borderId="55" xfId="183" applyNumberFormat="1" applyFont="1" applyBorder="1" applyAlignment="1">
      <alignment vertical="center"/>
    </xf>
    <xf numFmtId="216" fontId="4" fillId="0" borderId="54" xfId="183" applyNumberFormat="1" applyFont="1" applyBorder="1" applyAlignment="1">
      <alignment horizontal="centerContinuous" vertical="center"/>
    </xf>
    <xf numFmtId="216" fontId="4" fillId="0" borderId="54" xfId="183" applyNumberFormat="1" applyFont="1" applyBorder="1" applyAlignment="1">
      <alignment vertical="center"/>
    </xf>
    <xf numFmtId="216" fontId="4" fillId="0" borderId="0" xfId="183" quotePrefix="1" applyNumberFormat="1" applyFont="1" applyBorder="1" applyAlignment="1">
      <alignment vertical="center"/>
    </xf>
    <xf numFmtId="216" fontId="4" fillId="0" borderId="0" xfId="183" applyNumberFormat="1" applyFont="1" applyFill="1" applyBorder="1" applyAlignment="1">
      <alignment horizontal="centerContinuous" vertical="center"/>
    </xf>
    <xf numFmtId="216" fontId="28" fillId="0" borderId="0" xfId="0" quotePrefix="1" applyNumberFormat="1" applyFont="1" applyFill="1" applyBorder="1" applyAlignment="1">
      <alignment vertical="center"/>
    </xf>
    <xf numFmtId="216" fontId="28" fillId="30" borderId="0" xfId="183" applyNumberFormat="1" applyFont="1" applyFill="1" applyBorder="1" applyAlignment="1">
      <alignment vertical="center"/>
    </xf>
    <xf numFmtId="216" fontId="101" fillId="0" borderId="0" xfId="183" applyNumberFormat="1" applyFont="1" applyFill="1" applyBorder="1" applyAlignment="1">
      <alignment vertical="center"/>
    </xf>
    <xf numFmtId="216" fontId="30" fillId="0" borderId="0" xfId="183" applyNumberFormat="1" applyFont="1" applyFill="1" applyBorder="1" applyAlignment="1">
      <alignment vertical="center"/>
    </xf>
    <xf numFmtId="216" fontId="4" fillId="0" borderId="0" xfId="183" applyNumberFormat="1" applyFont="1" applyFill="1" applyAlignment="1">
      <alignment vertical="center"/>
    </xf>
    <xf numFmtId="216" fontId="28" fillId="0" borderId="52" xfId="0" applyNumberFormat="1" applyFont="1" applyFill="1" applyBorder="1" applyAlignment="1">
      <alignment horizontal="centerContinuous" vertical="center"/>
    </xf>
    <xf numFmtId="216" fontId="28" fillId="0" borderId="55" xfId="0" applyNumberFormat="1" applyFont="1" applyFill="1" applyBorder="1" applyAlignment="1">
      <alignment horizontal="center" vertical="center"/>
    </xf>
    <xf numFmtId="216" fontId="28" fillId="0" borderId="52" xfId="0" applyNumberFormat="1" applyFont="1" applyFill="1" applyBorder="1" applyAlignment="1">
      <alignment horizontal="center" vertical="center"/>
    </xf>
    <xf numFmtId="216" fontId="28" fillId="32" borderId="55" xfId="0" applyNumberFormat="1" applyFont="1" applyFill="1" applyBorder="1" applyAlignment="1">
      <alignment vertical="center"/>
    </xf>
    <xf numFmtId="216" fontId="28" fillId="0" borderId="61" xfId="183" quotePrefix="1" applyNumberFormat="1" applyFont="1" applyFill="1" applyBorder="1" applyAlignment="1">
      <alignment vertical="center"/>
    </xf>
    <xf numFmtId="216" fontId="4" fillId="32" borderId="54" xfId="183" applyNumberFormat="1" applyFont="1" applyFill="1" applyBorder="1" applyAlignment="1">
      <alignment vertical="center"/>
    </xf>
    <xf numFmtId="216" fontId="4" fillId="0" borderId="54" xfId="183" applyNumberFormat="1" applyFont="1" applyFill="1" applyBorder="1" applyAlignment="1">
      <alignment horizontal="center" vertical="center"/>
    </xf>
    <xf numFmtId="216" fontId="4" fillId="0" borderId="54" xfId="183" applyNumberFormat="1" applyFont="1" applyFill="1" applyBorder="1" applyAlignment="1">
      <alignment vertical="center"/>
    </xf>
    <xf numFmtId="216" fontId="4" fillId="0" borderId="12" xfId="183" applyNumberFormat="1" applyFont="1" applyFill="1" applyBorder="1" applyAlignment="1">
      <alignment vertical="center"/>
    </xf>
    <xf numFmtId="216" fontId="4" fillId="0" borderId="0" xfId="183" quotePrefix="1" applyNumberFormat="1" applyFont="1" applyFill="1" applyAlignment="1">
      <alignment vertical="center"/>
    </xf>
    <xf numFmtId="216" fontId="4" fillId="0" borderId="0" xfId="183" applyNumberFormat="1" applyFont="1" applyFill="1" applyBorder="1" applyAlignment="1">
      <alignment vertical="center" shrinkToFit="1"/>
    </xf>
    <xf numFmtId="216" fontId="4" fillId="0" borderId="0" xfId="319" applyNumberFormat="1" applyFont="1" applyFill="1" applyBorder="1" applyAlignment="1">
      <alignment vertical="center" shrinkToFit="1"/>
    </xf>
    <xf numFmtId="216" fontId="4" fillId="0" borderId="0" xfId="183" applyNumberFormat="1" applyFont="1" applyBorder="1" applyAlignment="1">
      <alignment vertical="center" shrinkToFit="1"/>
    </xf>
    <xf numFmtId="216" fontId="4" fillId="0" borderId="0" xfId="319" applyNumberFormat="1" applyFont="1" applyBorder="1" applyAlignment="1">
      <alignment vertical="center" shrinkToFit="1"/>
    </xf>
    <xf numFmtId="216" fontId="101" fillId="0" borderId="52" xfId="183" applyNumberFormat="1" applyFont="1" applyFill="1" applyBorder="1" applyAlignment="1">
      <alignment vertical="center"/>
    </xf>
    <xf numFmtId="216" fontId="101" fillId="32" borderId="52" xfId="183" applyNumberFormat="1" applyFont="1" applyFill="1" applyBorder="1" applyAlignment="1">
      <alignment vertical="center"/>
    </xf>
    <xf numFmtId="216" fontId="101" fillId="32" borderId="55" xfId="183" applyNumberFormat="1" applyFont="1" applyFill="1" applyBorder="1" applyAlignment="1">
      <alignment vertical="center"/>
    </xf>
    <xf numFmtId="216" fontId="4" fillId="32" borderId="52" xfId="183" applyNumberFormat="1" applyFont="1" applyFill="1" applyBorder="1" applyAlignment="1">
      <alignment vertical="center" shrinkToFit="1"/>
    </xf>
    <xf numFmtId="216" fontId="28" fillId="0" borderId="0" xfId="183" quotePrefix="1" applyNumberFormat="1" applyFont="1" applyFill="1" applyAlignment="1">
      <alignment vertical="center"/>
    </xf>
    <xf numFmtId="216" fontId="4" fillId="34" borderId="54" xfId="183" applyNumberFormat="1" applyFont="1" applyFill="1" applyBorder="1" applyAlignment="1">
      <alignment vertical="center" shrinkToFit="1"/>
    </xf>
    <xf numFmtId="216" fontId="4" fillId="34" borderId="52" xfId="319" applyNumberFormat="1" applyFont="1" applyFill="1" applyBorder="1" applyAlignment="1">
      <alignment vertical="center" shrinkToFit="1"/>
    </xf>
    <xf numFmtId="216" fontId="4" fillId="34" borderId="52" xfId="183" applyNumberFormat="1" applyFont="1" applyFill="1" applyBorder="1" applyAlignment="1">
      <alignment horizontal="center" vertical="center"/>
    </xf>
    <xf numFmtId="216" fontId="4" fillId="34" borderId="52" xfId="183" applyNumberFormat="1" applyFont="1" applyFill="1" applyBorder="1" applyAlignment="1">
      <alignment vertical="center" shrinkToFit="1"/>
    </xf>
    <xf numFmtId="216" fontId="4" fillId="34" borderId="55" xfId="183" applyNumberFormat="1" applyFont="1" applyFill="1" applyBorder="1" applyAlignment="1">
      <alignment horizontal="center" vertical="center"/>
    </xf>
    <xf numFmtId="225" fontId="4" fillId="0" borderId="0" xfId="183" applyNumberFormat="1" applyFont="1" applyFill="1" applyBorder="1" applyAlignment="1">
      <alignment vertical="center"/>
    </xf>
    <xf numFmtId="225" fontId="4" fillId="0" borderId="55" xfId="183" applyNumberFormat="1" applyFont="1" applyFill="1" applyBorder="1" applyAlignment="1">
      <alignment vertical="center"/>
    </xf>
    <xf numFmtId="216" fontId="101" fillId="30" borderId="52" xfId="183" applyNumberFormat="1" applyFont="1" applyFill="1" applyBorder="1" applyAlignment="1">
      <alignment vertical="center"/>
    </xf>
    <xf numFmtId="216" fontId="4" fillId="33" borderId="52" xfId="183" applyNumberFormat="1" applyFont="1" applyFill="1" applyBorder="1" applyAlignment="1">
      <alignment vertical="center"/>
    </xf>
    <xf numFmtId="216" fontId="4" fillId="33" borderId="55" xfId="183" applyNumberFormat="1" applyFont="1" applyFill="1" applyBorder="1" applyAlignment="1">
      <alignment vertical="center"/>
    </xf>
    <xf numFmtId="216" fontId="28" fillId="32" borderId="0" xfId="183" quotePrefix="1" applyNumberFormat="1" applyFont="1" applyFill="1" applyBorder="1" applyAlignment="1">
      <alignment vertical="center"/>
    </xf>
    <xf numFmtId="216" fontId="4" fillId="0" borderId="8" xfId="183" applyNumberFormat="1" applyFont="1" applyBorder="1" applyAlignment="1">
      <alignment vertical="center" shrinkToFit="1"/>
    </xf>
    <xf numFmtId="216" fontId="4" fillId="0" borderId="12" xfId="183" applyNumberFormat="1" applyFont="1" applyBorder="1" applyAlignment="1">
      <alignment vertical="center" shrinkToFit="1"/>
    </xf>
    <xf numFmtId="216" fontId="4" fillId="35" borderId="62" xfId="183" applyNumberFormat="1" applyFont="1" applyFill="1" applyBorder="1" applyAlignment="1">
      <alignment vertical="center" shrinkToFit="1"/>
    </xf>
    <xf numFmtId="216" fontId="4" fillId="35" borderId="63" xfId="319" applyNumberFormat="1" applyFont="1" applyFill="1" applyBorder="1" applyAlignment="1">
      <alignment vertical="center" shrinkToFit="1"/>
    </xf>
    <xf numFmtId="216" fontId="4" fillId="35" borderId="63" xfId="183" applyNumberFormat="1" applyFont="1" applyFill="1" applyBorder="1" applyAlignment="1">
      <alignment horizontal="center" vertical="center"/>
    </xf>
    <xf numFmtId="216" fontId="4" fillId="35" borderId="63" xfId="183" applyNumberFormat="1" applyFont="1" applyFill="1" applyBorder="1" applyAlignment="1">
      <alignment vertical="center" shrinkToFit="1"/>
    </xf>
    <xf numFmtId="216" fontId="4" fillId="35" borderId="64" xfId="319" applyNumberFormat="1" applyFont="1" applyFill="1" applyBorder="1" applyAlignment="1">
      <alignment vertical="center" shrinkToFit="1"/>
    </xf>
    <xf numFmtId="216" fontId="4" fillId="35" borderId="65" xfId="183" applyNumberFormat="1" applyFont="1" applyFill="1" applyBorder="1" applyAlignment="1">
      <alignment vertical="center" shrinkToFit="1"/>
    </xf>
    <xf numFmtId="216" fontId="4" fillId="35" borderId="52" xfId="319" applyNumberFormat="1" applyFont="1" applyFill="1" applyBorder="1" applyAlignment="1">
      <alignment vertical="center" shrinkToFit="1"/>
    </xf>
    <xf numFmtId="216" fontId="4" fillId="35" borderId="52" xfId="183" applyNumberFormat="1" applyFont="1" applyFill="1" applyBorder="1" applyAlignment="1">
      <alignment horizontal="center" vertical="center"/>
    </xf>
    <xf numFmtId="216" fontId="4" fillId="35" borderId="52" xfId="183" applyNumberFormat="1" applyFont="1" applyFill="1" applyBorder="1" applyAlignment="1">
      <alignment vertical="center" shrinkToFit="1"/>
    </xf>
    <xf numFmtId="216" fontId="4" fillId="35" borderId="66" xfId="319" applyNumberFormat="1" applyFont="1" applyFill="1" applyBorder="1" applyAlignment="1">
      <alignment vertical="center" shrinkToFit="1"/>
    </xf>
    <xf numFmtId="216" fontId="4" fillId="35" borderId="67" xfId="183" applyNumberFormat="1" applyFont="1" applyFill="1" applyBorder="1" applyAlignment="1">
      <alignment vertical="center" shrinkToFit="1"/>
    </xf>
    <xf numFmtId="216" fontId="4" fillId="35" borderId="68" xfId="319" applyNumberFormat="1" applyFont="1" applyFill="1" applyBorder="1" applyAlignment="1">
      <alignment vertical="center" shrinkToFit="1"/>
    </xf>
    <xf numFmtId="216" fontId="4" fillId="35" borderId="68" xfId="183" applyNumberFormat="1" applyFont="1" applyFill="1" applyBorder="1" applyAlignment="1">
      <alignment horizontal="center" vertical="center"/>
    </xf>
    <xf numFmtId="216" fontId="4" fillId="35" borderId="68" xfId="183" applyNumberFormat="1" applyFont="1" applyFill="1" applyBorder="1" applyAlignment="1">
      <alignment vertical="center" shrinkToFit="1"/>
    </xf>
    <xf numFmtId="216" fontId="4" fillId="35" borderId="69" xfId="319" applyNumberFormat="1" applyFont="1" applyFill="1" applyBorder="1" applyAlignment="1">
      <alignment vertical="center" shrinkToFit="1"/>
    </xf>
    <xf numFmtId="216" fontId="4" fillId="36" borderId="62" xfId="183" applyNumberFormat="1" applyFont="1" applyFill="1" applyBorder="1" applyAlignment="1">
      <alignment vertical="center" shrinkToFit="1"/>
    </xf>
    <xf numFmtId="216" fontId="4" fillId="36" borderId="63" xfId="319" applyNumberFormat="1" applyFont="1" applyFill="1" applyBorder="1" applyAlignment="1">
      <alignment vertical="center" shrinkToFit="1"/>
    </xf>
    <xf numFmtId="216" fontId="4" fillId="36" borderId="63" xfId="183" applyNumberFormat="1" applyFont="1" applyFill="1" applyBorder="1" applyAlignment="1">
      <alignment horizontal="center" vertical="center"/>
    </xf>
    <xf numFmtId="216" fontId="4" fillId="36" borderId="63" xfId="183" applyNumberFormat="1" applyFont="1" applyFill="1" applyBorder="1" applyAlignment="1">
      <alignment vertical="center" shrinkToFit="1"/>
    </xf>
    <xf numFmtId="216" fontId="4" fillId="36" borderId="64" xfId="319" applyNumberFormat="1" applyFont="1" applyFill="1" applyBorder="1" applyAlignment="1">
      <alignment vertical="center" shrinkToFit="1"/>
    </xf>
    <xf numFmtId="216" fontId="4" fillId="36" borderId="65" xfId="183" applyNumberFormat="1" applyFont="1" applyFill="1" applyBorder="1" applyAlignment="1">
      <alignment vertical="center" shrinkToFit="1"/>
    </xf>
    <xf numFmtId="216" fontId="4" fillId="36" borderId="52" xfId="319" applyNumberFormat="1" applyFont="1" applyFill="1" applyBorder="1" applyAlignment="1">
      <alignment vertical="center" shrinkToFit="1"/>
    </xf>
    <xf numFmtId="216" fontId="4" fillId="36" borderId="52" xfId="183" applyNumberFormat="1" applyFont="1" applyFill="1" applyBorder="1" applyAlignment="1">
      <alignment horizontal="center" vertical="center"/>
    </xf>
    <xf numFmtId="216" fontId="4" fillId="36" borderId="52" xfId="183" applyNumberFormat="1" applyFont="1" applyFill="1" applyBorder="1" applyAlignment="1">
      <alignment vertical="center" shrinkToFit="1"/>
    </xf>
    <xf numFmtId="216" fontId="4" fillId="36" borderId="66" xfId="319" applyNumberFormat="1" applyFont="1" applyFill="1" applyBorder="1" applyAlignment="1">
      <alignment vertical="center" shrinkToFit="1"/>
    </xf>
    <xf numFmtId="216" fontId="4" fillId="36" borderId="67" xfId="183" applyNumberFormat="1" applyFont="1" applyFill="1" applyBorder="1" applyAlignment="1">
      <alignment vertical="center" shrinkToFit="1"/>
    </xf>
    <xf numFmtId="216" fontId="4" fillId="36" borderId="68" xfId="319" applyNumberFormat="1" applyFont="1" applyFill="1" applyBorder="1" applyAlignment="1">
      <alignment vertical="center" shrinkToFit="1"/>
    </xf>
    <xf numFmtId="216" fontId="4" fillId="36" borderId="68" xfId="183" applyNumberFormat="1" applyFont="1" applyFill="1" applyBorder="1" applyAlignment="1">
      <alignment horizontal="center" vertical="center"/>
    </xf>
    <xf numFmtId="216" fontId="4" fillId="36" borderId="68" xfId="183" applyNumberFormat="1" applyFont="1" applyFill="1" applyBorder="1" applyAlignment="1">
      <alignment vertical="center" shrinkToFit="1"/>
    </xf>
    <xf numFmtId="216" fontId="4" fillId="36" borderId="69" xfId="319" applyNumberFormat="1" applyFont="1" applyFill="1" applyBorder="1" applyAlignment="1">
      <alignment vertical="center" shrinkToFit="1"/>
    </xf>
    <xf numFmtId="216" fontId="4" fillId="0" borderId="12" xfId="319" applyNumberFormat="1" applyFont="1" applyBorder="1" applyAlignment="1">
      <alignment vertical="center" shrinkToFit="1"/>
    </xf>
    <xf numFmtId="216" fontId="4" fillId="0" borderId="12" xfId="183" applyNumberFormat="1" applyFont="1" applyBorder="1">
      <alignment vertical="center"/>
    </xf>
    <xf numFmtId="216" fontId="4" fillId="0" borderId="7" xfId="319" applyNumberFormat="1" applyFont="1" applyBorder="1" applyAlignment="1">
      <alignment vertical="center" shrinkToFit="1"/>
    </xf>
    <xf numFmtId="216" fontId="4" fillId="37" borderId="62" xfId="183" applyNumberFormat="1" applyFont="1" applyFill="1" applyBorder="1" applyAlignment="1">
      <alignment vertical="center" shrinkToFit="1"/>
    </xf>
    <xf numFmtId="216" fontId="4" fillId="37" borderId="63" xfId="319" applyNumberFormat="1" applyFont="1" applyFill="1" applyBorder="1" applyAlignment="1">
      <alignment vertical="center" shrinkToFit="1"/>
    </xf>
    <xf numFmtId="216" fontId="4" fillId="37" borderId="63" xfId="183" applyNumberFormat="1" applyFont="1" applyFill="1" applyBorder="1" applyAlignment="1">
      <alignment horizontal="center" vertical="center"/>
    </xf>
    <xf numFmtId="216" fontId="4" fillId="37" borderId="63" xfId="183" applyNumberFormat="1" applyFont="1" applyFill="1" applyBorder="1" applyAlignment="1">
      <alignment vertical="center" shrinkToFit="1"/>
    </xf>
    <xf numFmtId="216" fontId="4" fillId="37" borderId="64" xfId="319" applyNumberFormat="1" applyFont="1" applyFill="1" applyBorder="1" applyAlignment="1">
      <alignment vertical="center" shrinkToFit="1"/>
    </xf>
    <xf numFmtId="216" fontId="4" fillId="37" borderId="70" xfId="183" applyNumberFormat="1" applyFont="1" applyFill="1" applyBorder="1" applyAlignment="1">
      <alignment vertical="center" shrinkToFit="1"/>
    </xf>
    <xf numFmtId="216" fontId="4" fillId="37" borderId="12" xfId="319" applyNumberFormat="1" applyFont="1" applyFill="1" applyBorder="1" applyAlignment="1">
      <alignment vertical="center" shrinkToFit="1"/>
    </xf>
    <xf numFmtId="216" fontId="4" fillId="37" borderId="12" xfId="183" applyNumberFormat="1" applyFont="1" applyFill="1" applyBorder="1" applyAlignment="1">
      <alignment horizontal="center" vertical="center"/>
    </xf>
    <xf numFmtId="216" fontId="4" fillId="37" borderId="12" xfId="183" applyNumberFormat="1" applyFont="1" applyFill="1" applyBorder="1" applyAlignment="1">
      <alignment vertical="center" shrinkToFit="1"/>
    </xf>
    <xf numFmtId="216" fontId="4" fillId="37" borderId="71" xfId="319" applyNumberFormat="1" applyFont="1" applyFill="1" applyBorder="1" applyAlignment="1">
      <alignment vertical="center" shrinkToFit="1"/>
    </xf>
    <xf numFmtId="216" fontId="4" fillId="37" borderId="67" xfId="183" applyNumberFormat="1" applyFont="1" applyFill="1" applyBorder="1" applyAlignment="1">
      <alignment vertical="center" shrinkToFit="1"/>
    </xf>
    <xf numFmtId="216" fontId="4" fillId="37" borderId="68" xfId="319" applyNumberFormat="1" applyFont="1" applyFill="1" applyBorder="1" applyAlignment="1">
      <alignment vertical="center" shrinkToFit="1"/>
    </xf>
    <xf numFmtId="216" fontId="4" fillId="37" borderId="68" xfId="183" applyNumberFormat="1" applyFont="1" applyFill="1" applyBorder="1" applyAlignment="1">
      <alignment horizontal="center" vertical="center"/>
    </xf>
    <xf numFmtId="216" fontId="4" fillId="37" borderId="68" xfId="183" applyNumberFormat="1" applyFont="1" applyFill="1" applyBorder="1" applyAlignment="1">
      <alignment vertical="center" shrinkToFit="1"/>
    </xf>
    <xf numFmtId="216" fontId="4" fillId="37" borderId="69" xfId="319" applyNumberFormat="1" applyFont="1" applyFill="1" applyBorder="1" applyAlignment="1">
      <alignment vertical="center" shrinkToFit="1"/>
    </xf>
    <xf numFmtId="216" fontId="101" fillId="0" borderId="54" xfId="183" applyNumberFormat="1" applyFont="1" applyBorder="1" applyAlignment="1">
      <alignment vertical="center"/>
    </xf>
    <xf numFmtId="216" fontId="101" fillId="0" borderId="52" xfId="183" applyNumberFormat="1" applyFont="1" applyBorder="1" applyAlignment="1">
      <alignment vertical="center"/>
    </xf>
    <xf numFmtId="216" fontId="120" fillId="0" borderId="54" xfId="183" applyNumberFormat="1" applyFont="1" applyBorder="1" applyAlignment="1">
      <alignment vertical="center"/>
    </xf>
    <xf numFmtId="216" fontId="120" fillId="0" borderId="52" xfId="183" applyNumberFormat="1" applyFont="1" applyBorder="1" applyAlignment="1">
      <alignment vertical="center"/>
    </xf>
    <xf numFmtId="216" fontId="120" fillId="0" borderId="55" xfId="183" applyNumberFormat="1" applyFont="1" applyBorder="1" applyAlignment="1">
      <alignment vertical="center"/>
    </xf>
    <xf numFmtId="216" fontId="28" fillId="0" borderId="9" xfId="183" applyNumberFormat="1" applyFont="1" applyFill="1" applyBorder="1" applyAlignment="1">
      <alignment horizontal="center" vertical="center"/>
    </xf>
    <xf numFmtId="14" fontId="27" fillId="0" borderId="52" xfId="5" applyNumberFormat="1" applyFont="1" applyFill="1" applyBorder="1"/>
    <xf numFmtId="177" fontId="27" fillId="0" borderId="52" xfId="1" applyNumberFormat="1" applyFont="1" applyFill="1" applyBorder="1" applyAlignment="1"/>
    <xf numFmtId="222" fontId="21" fillId="0" borderId="0" xfId="1" applyNumberFormat="1" applyFont="1" applyBorder="1">
      <alignment vertical="center"/>
    </xf>
    <xf numFmtId="222" fontId="24" fillId="0" borderId="0" xfId="1" applyNumberFormat="1" applyFont="1" applyAlignment="1"/>
    <xf numFmtId="222" fontId="121" fillId="0" borderId="0" xfId="0" applyNumberFormat="1" applyFont="1">
      <alignment vertical="center"/>
    </xf>
    <xf numFmtId="222" fontId="24" fillId="0" borderId="0" xfId="0" applyNumberFormat="1" applyFont="1">
      <alignment vertical="center"/>
    </xf>
    <xf numFmtId="222" fontId="99" fillId="0" borderId="0" xfId="0" applyNumberFormat="1" applyFont="1">
      <alignment vertical="center"/>
    </xf>
    <xf numFmtId="222" fontId="4" fillId="0" borderId="0" xfId="1" applyNumberFormat="1" applyFont="1" applyBorder="1">
      <alignment vertical="center"/>
    </xf>
    <xf numFmtId="222" fontId="122" fillId="0" borderId="0" xfId="0" applyNumberFormat="1" applyFont="1" applyFill="1" applyAlignment="1">
      <alignment horizontal="left" vertical="center"/>
    </xf>
    <xf numFmtId="222" fontId="98" fillId="0" borderId="0" xfId="0" applyNumberFormat="1" applyFont="1">
      <alignment vertical="center"/>
    </xf>
    <xf numFmtId="222" fontId="123" fillId="0" borderId="0" xfId="0" applyNumberFormat="1" applyFont="1" applyFill="1">
      <alignment vertical="center"/>
    </xf>
    <xf numFmtId="222" fontId="124" fillId="0" borderId="0" xfId="0" applyNumberFormat="1" applyFont="1" applyFill="1">
      <alignment vertical="center"/>
    </xf>
    <xf numFmtId="41" fontId="28" fillId="30" borderId="0" xfId="1" applyFont="1" applyFill="1" applyAlignment="1"/>
    <xf numFmtId="189" fontId="30" fillId="30" borderId="0" xfId="7" applyNumberFormat="1" applyFont="1" applyFill="1" applyBorder="1"/>
    <xf numFmtId="216" fontId="0" fillId="0" borderId="0" xfId="0" applyNumberFormat="1">
      <alignment vertical="center"/>
    </xf>
    <xf numFmtId="41" fontId="30" fillId="0" borderId="0" xfId="1" applyFont="1" applyAlignment="1"/>
    <xf numFmtId="41" fontId="28" fillId="30" borderId="0" xfId="1" applyFont="1" applyFill="1" applyBorder="1" applyAlignment="1"/>
    <xf numFmtId="0" fontId="125" fillId="0" borderId="0" xfId="188" applyFont="1" applyAlignment="1">
      <alignment wrapText="1"/>
    </xf>
    <xf numFmtId="0" fontId="125" fillId="0" borderId="0" xfId="188" applyFont="1" applyAlignment="1">
      <alignment horizontal="right" wrapText="1"/>
    </xf>
    <xf numFmtId="0" fontId="126" fillId="0" borderId="0" xfId="188" applyFont="1">
      <alignment vertical="center"/>
    </xf>
    <xf numFmtId="0" fontId="127" fillId="0" borderId="85" xfId="188" applyFont="1" applyBorder="1" applyAlignment="1">
      <alignment horizontal="center" vertical="center" wrapText="1"/>
    </xf>
    <xf numFmtId="0" fontId="125" fillId="0" borderId="89" xfId="188" applyFont="1" applyBorder="1" applyAlignment="1">
      <alignment vertical="center" wrapText="1"/>
    </xf>
    <xf numFmtId="234" fontId="125" fillId="0" borderId="90" xfId="188" applyNumberFormat="1" applyFont="1" applyBorder="1" applyAlignment="1">
      <alignment horizontal="right" vertical="center" wrapText="1"/>
    </xf>
    <xf numFmtId="234" fontId="125" fillId="0" borderId="91" xfId="188" applyNumberFormat="1" applyFont="1" applyBorder="1" applyAlignment="1">
      <alignment horizontal="right" vertical="center" wrapText="1"/>
    </xf>
    <xf numFmtId="0" fontId="125" fillId="0" borderId="89" xfId="188" applyFont="1" applyBorder="1" applyAlignment="1">
      <alignment horizontal="left" vertical="center" wrapText="1" indent="1"/>
    </xf>
    <xf numFmtId="0" fontId="125" fillId="0" borderId="92" xfId="188" applyFont="1" applyBorder="1" applyAlignment="1">
      <alignment vertical="center" wrapText="1"/>
    </xf>
    <xf numFmtId="234" fontId="125" fillId="0" borderId="93" xfId="188" applyNumberFormat="1" applyFont="1" applyBorder="1" applyAlignment="1">
      <alignment horizontal="right" vertical="center" wrapText="1"/>
    </xf>
    <xf numFmtId="234" fontId="125" fillId="0" borderId="94" xfId="188" applyNumberFormat="1" applyFont="1" applyBorder="1" applyAlignment="1">
      <alignment horizontal="right" vertical="center" wrapText="1"/>
    </xf>
    <xf numFmtId="234" fontId="126" fillId="0" borderId="0" xfId="188" applyNumberFormat="1" applyFont="1">
      <alignment vertical="center"/>
    </xf>
    <xf numFmtId="0" fontId="129" fillId="0" borderId="0" xfId="188" applyFont="1" applyFill="1" applyAlignment="1">
      <alignment vertical="center"/>
    </xf>
    <xf numFmtId="41" fontId="126" fillId="0" borderId="0" xfId="135" applyFont="1" applyFill="1">
      <alignment vertical="center"/>
    </xf>
    <xf numFmtId="0" fontId="126" fillId="0" borderId="0" xfId="188" applyFont="1" applyFill="1">
      <alignment vertical="center"/>
    </xf>
    <xf numFmtId="0" fontId="130" fillId="0" borderId="0" xfId="188" applyFont="1" applyFill="1" applyAlignment="1">
      <alignment vertical="center"/>
    </xf>
    <xf numFmtId="41" fontId="130" fillId="0" borderId="0" xfId="135" applyFont="1" applyFill="1">
      <alignment vertical="center"/>
    </xf>
    <xf numFmtId="0" fontId="130" fillId="0" borderId="0" xfId="188" applyFont="1" applyFill="1">
      <alignment vertical="center"/>
    </xf>
    <xf numFmtId="0" fontId="130" fillId="0" borderId="0" xfId="188" applyFont="1" applyFill="1" applyAlignment="1">
      <alignment horizontal="left" vertical="center"/>
    </xf>
    <xf numFmtId="226" fontId="130" fillId="0" borderId="0" xfId="188" applyNumberFormat="1" applyFont="1" applyFill="1" applyAlignment="1">
      <alignment horizontal="right" vertical="center"/>
    </xf>
    <xf numFmtId="0" fontId="130" fillId="0" borderId="52" xfId="188" applyFont="1" applyFill="1" applyBorder="1" applyAlignment="1">
      <alignment horizontal="center" vertical="center"/>
    </xf>
    <xf numFmtId="0" fontId="130" fillId="0" borderId="31" xfId="188" applyFont="1" applyFill="1" applyBorder="1">
      <alignment vertical="center"/>
    </xf>
    <xf numFmtId="226" fontId="130" fillId="0" borderId="80" xfId="135" applyNumberFormat="1" applyFont="1" applyFill="1" applyBorder="1">
      <alignment vertical="center"/>
    </xf>
    <xf numFmtId="226" fontId="130" fillId="0" borderId="14" xfId="135" applyNumberFormat="1" applyFont="1" applyFill="1" applyBorder="1">
      <alignment vertical="center"/>
    </xf>
    <xf numFmtId="226" fontId="130" fillId="0" borderId="34" xfId="135" applyNumberFormat="1" applyFont="1" applyFill="1" applyBorder="1">
      <alignment vertical="center"/>
    </xf>
    <xf numFmtId="0" fontId="130" fillId="0" borderId="59" xfId="188" applyFont="1" applyFill="1" applyBorder="1">
      <alignment vertical="center"/>
    </xf>
    <xf numFmtId="0" fontId="130" fillId="0" borderId="58" xfId="188" applyFont="1" applyFill="1" applyBorder="1">
      <alignment vertical="center"/>
    </xf>
    <xf numFmtId="0" fontId="131" fillId="0" borderId="31" xfId="188" applyFont="1" applyFill="1" applyBorder="1">
      <alignment vertical="center"/>
    </xf>
    <xf numFmtId="226" fontId="131" fillId="0" borderId="15" xfId="135" applyNumberFormat="1" applyFont="1" applyFill="1" applyBorder="1">
      <alignment vertical="center"/>
    </xf>
    <xf numFmtId="226" fontId="131" fillId="0" borderId="14" xfId="135" applyNumberFormat="1" applyFont="1" applyFill="1" applyBorder="1">
      <alignment vertical="center"/>
    </xf>
    <xf numFmtId="226" fontId="131" fillId="0" borderId="34" xfId="135" applyNumberFormat="1" applyFont="1" applyFill="1" applyBorder="1">
      <alignment vertical="center"/>
    </xf>
    <xf numFmtId="0" fontId="131" fillId="0" borderId="14" xfId="188" applyFont="1" applyFill="1" applyBorder="1">
      <alignment vertical="center"/>
    </xf>
    <xf numFmtId="0" fontId="131" fillId="0" borderId="15" xfId="188" applyFont="1" applyFill="1" applyBorder="1">
      <alignment vertical="center"/>
    </xf>
    <xf numFmtId="0" fontId="131" fillId="0" borderId="0" xfId="188" applyFont="1" applyFill="1">
      <alignment vertical="center"/>
    </xf>
    <xf numFmtId="41" fontId="130" fillId="0" borderId="14" xfId="135" applyNumberFormat="1" applyFont="1" applyFill="1" applyBorder="1">
      <alignment vertical="center"/>
    </xf>
    <xf numFmtId="41" fontId="130" fillId="0" borderId="15" xfId="135" applyNumberFormat="1" applyFont="1" applyFill="1" applyBorder="1">
      <alignment vertical="center"/>
    </xf>
    <xf numFmtId="226" fontId="130" fillId="0" borderId="32" xfId="135" applyNumberFormat="1" applyFont="1" applyFill="1" applyBorder="1">
      <alignment vertical="center"/>
    </xf>
    <xf numFmtId="226" fontId="130" fillId="0" borderId="15" xfId="135" applyNumberFormat="1" applyFont="1" applyFill="1" applyBorder="1">
      <alignment vertical="center"/>
    </xf>
    <xf numFmtId="226" fontId="130" fillId="0" borderId="15" xfId="135" applyNumberFormat="1" applyFont="1" applyFill="1" applyBorder="1" applyAlignment="1">
      <alignment horizontal="right" vertical="center"/>
    </xf>
    <xf numFmtId="226" fontId="130" fillId="0" borderId="14" xfId="135" applyNumberFormat="1" applyFont="1" applyFill="1" applyBorder="1" applyAlignment="1">
      <alignment horizontal="right" vertical="center"/>
    </xf>
    <xf numFmtId="0" fontId="130" fillId="0" borderId="31" xfId="188" applyFont="1" applyFill="1" applyBorder="1" applyAlignment="1">
      <alignment horizontal="center" vertical="center"/>
    </xf>
    <xf numFmtId="0" fontId="131" fillId="0" borderId="76" xfId="188" applyFont="1" applyFill="1" applyBorder="1">
      <alignment vertical="center"/>
    </xf>
    <xf numFmtId="226" fontId="131" fillId="0" borderId="81" xfId="135" applyNumberFormat="1" applyFont="1" applyFill="1" applyBorder="1">
      <alignment vertical="center"/>
    </xf>
    <xf numFmtId="226" fontId="131" fillId="0" borderId="82" xfId="135" applyNumberFormat="1" applyFont="1" applyFill="1" applyBorder="1">
      <alignment vertical="center"/>
    </xf>
    <xf numFmtId="226" fontId="131" fillId="0" borderId="83" xfId="135" applyNumberFormat="1" applyFont="1" applyFill="1" applyBorder="1">
      <alignment vertical="center"/>
    </xf>
    <xf numFmtId="41" fontId="130" fillId="0" borderId="8" xfId="135" applyNumberFormat="1" applyFont="1" applyFill="1" applyBorder="1">
      <alignment vertical="center"/>
    </xf>
    <xf numFmtId="41" fontId="130" fillId="0" borderId="12" xfId="135" applyNumberFormat="1" applyFont="1" applyFill="1" applyBorder="1">
      <alignment vertical="center"/>
    </xf>
    <xf numFmtId="226" fontId="126" fillId="0" borderId="0" xfId="188" applyNumberFormat="1" applyFont="1" applyFill="1">
      <alignment vertical="center"/>
    </xf>
    <xf numFmtId="0" fontId="126" fillId="0" borderId="0" xfId="188" applyFont="1" applyFill="1" applyBorder="1">
      <alignment vertical="center"/>
    </xf>
    <xf numFmtId="41" fontId="130" fillId="0" borderId="0" xfId="135" applyNumberFormat="1" applyFont="1" applyFill="1" applyBorder="1">
      <alignment vertical="center"/>
    </xf>
    <xf numFmtId="41" fontId="134" fillId="0" borderId="0" xfId="135" applyNumberFormat="1" applyFont="1" applyFill="1">
      <alignment vertical="center"/>
    </xf>
    <xf numFmtId="41" fontId="134" fillId="0" borderId="0" xfId="188" applyNumberFormat="1" applyFont="1" applyFill="1">
      <alignment vertical="center"/>
    </xf>
    <xf numFmtId="0" fontId="134" fillId="0" borderId="0" xfId="188" applyFont="1" applyFill="1">
      <alignment vertical="center"/>
    </xf>
    <xf numFmtId="228" fontId="130" fillId="0" borderId="52" xfId="188" applyNumberFormat="1" applyFont="1" applyBorder="1" applyAlignment="1"/>
    <xf numFmtId="228" fontId="130" fillId="0" borderId="54" xfId="135" applyNumberFormat="1" applyFont="1" applyBorder="1" applyAlignment="1">
      <alignment horizontal="center" vertical="center"/>
    </xf>
    <xf numFmtId="0" fontId="126" fillId="0" borderId="52" xfId="188" applyFont="1" applyFill="1" applyBorder="1">
      <alignment vertical="center"/>
    </xf>
    <xf numFmtId="41" fontId="130" fillId="0" borderId="52" xfId="135" applyNumberFormat="1" applyFont="1" applyFill="1" applyBorder="1">
      <alignment vertical="center"/>
    </xf>
    <xf numFmtId="228" fontId="130" fillId="0" borderId="12" xfId="188" applyNumberFormat="1" applyFont="1" applyBorder="1" applyAlignment="1"/>
    <xf numFmtId="41" fontId="126" fillId="0" borderId="0" xfId="188" applyNumberFormat="1" applyFont="1" applyFill="1">
      <alignment vertical="center"/>
    </xf>
    <xf numFmtId="0" fontId="126" fillId="30" borderId="52" xfId="188" applyFont="1" applyFill="1" applyBorder="1">
      <alignment vertical="center"/>
    </xf>
    <xf numFmtId="41" fontId="130" fillId="30" borderId="52" xfId="135" applyNumberFormat="1" applyFont="1" applyFill="1" applyBorder="1">
      <alignment vertical="center"/>
    </xf>
    <xf numFmtId="0" fontId="28" fillId="30" borderId="65" xfId="0" applyFont="1" applyFill="1" applyBorder="1" applyAlignment="1">
      <alignment horizontal="center" vertical="center"/>
    </xf>
    <xf numFmtId="0" fontId="28" fillId="30" borderId="66" xfId="0" applyFont="1" applyFill="1" applyBorder="1" applyAlignment="1">
      <alignment horizontal="center" vertical="center"/>
    </xf>
    <xf numFmtId="0" fontId="28" fillId="30" borderId="67" xfId="0" applyFont="1" applyFill="1" applyBorder="1" applyAlignment="1">
      <alignment horizontal="center" vertical="center"/>
    </xf>
    <xf numFmtId="0" fontId="28" fillId="30" borderId="69" xfId="0" applyFont="1" applyFill="1" applyBorder="1" applyAlignment="1">
      <alignment horizontal="center" vertical="center"/>
    </xf>
    <xf numFmtId="0" fontId="28" fillId="30" borderId="56" xfId="0" applyFont="1" applyFill="1" applyBorder="1" applyAlignment="1">
      <alignment horizontal="center" vertical="center"/>
    </xf>
    <xf numFmtId="0" fontId="28" fillId="37" borderId="62" xfId="0" applyFont="1" applyFill="1" applyBorder="1" applyAlignment="1">
      <alignment horizontal="center" vertical="center"/>
    </xf>
    <xf numFmtId="0" fontId="28" fillId="37" borderId="64" xfId="0" applyFont="1" applyFill="1" applyBorder="1" applyAlignment="1">
      <alignment horizontal="center" vertical="center"/>
    </xf>
    <xf numFmtId="14" fontId="28" fillId="30" borderId="95" xfId="0" quotePrefix="1" applyNumberFormat="1" applyFont="1" applyFill="1" applyBorder="1" applyAlignment="1">
      <alignment horizontal="center" vertical="center"/>
    </xf>
    <xf numFmtId="14" fontId="28" fillId="0" borderId="84" xfId="0" quotePrefix="1" applyNumberFormat="1" applyFont="1" applyFill="1" applyBorder="1" applyAlignment="1">
      <alignment horizontal="center" vertical="center"/>
    </xf>
    <xf numFmtId="30" fontId="4" fillId="0" borderId="95" xfId="0" applyNumberFormat="1" applyFont="1" applyFill="1" applyBorder="1" applyAlignment="1">
      <alignment horizontal="center" vertical="center"/>
    </xf>
    <xf numFmtId="30" fontId="4" fillId="0" borderId="96" xfId="0" applyNumberFormat="1" applyFont="1" applyFill="1" applyBorder="1" applyAlignment="1">
      <alignment horizontal="center" vertical="center"/>
    </xf>
    <xf numFmtId="41" fontId="132" fillId="0" borderId="0" xfId="1" applyFont="1" applyFill="1">
      <alignment vertical="center"/>
    </xf>
    <xf numFmtId="41" fontId="133" fillId="0" borderId="0" xfId="1" applyFont="1" applyFill="1">
      <alignment vertical="center"/>
    </xf>
    <xf numFmtId="0" fontId="136" fillId="0" borderId="98" xfId="0" applyFont="1" applyBorder="1" applyAlignment="1" applyProtection="1">
      <alignment horizontal="left" vertical="center"/>
    </xf>
    <xf numFmtId="41" fontId="136" fillId="0" borderId="98" xfId="1" applyFont="1" applyBorder="1" applyAlignment="1" applyProtection="1">
      <alignment horizontal="right" vertical="center"/>
    </xf>
    <xf numFmtId="41" fontId="136" fillId="0" borderId="98" xfId="1" applyFont="1" applyBorder="1" applyAlignment="1" applyProtection="1">
      <alignment horizontal="right" vertical="center" wrapText="1"/>
    </xf>
    <xf numFmtId="0" fontId="136" fillId="30" borderId="98" xfId="0" applyFont="1" applyFill="1" applyBorder="1" applyAlignment="1" applyProtection="1">
      <alignment horizontal="left" vertical="center"/>
    </xf>
    <xf numFmtId="49" fontId="135" fillId="26" borderId="97" xfId="0" applyNumberFormat="1" applyFont="1" applyFill="1" applyBorder="1" applyAlignment="1" applyProtection="1">
      <alignment horizontal="center" vertical="center"/>
    </xf>
    <xf numFmtId="216" fontId="30" fillId="2" borderId="4" xfId="4" applyNumberFormat="1" applyFont="1" applyFill="1" applyBorder="1" applyAlignment="1">
      <alignment horizontal="center" vertical="center"/>
    </xf>
    <xf numFmtId="235" fontId="136" fillId="0" borderId="98" xfId="0" applyNumberFormat="1" applyFont="1" applyBorder="1" applyAlignment="1" applyProtection="1">
      <alignment horizontal="right" vertical="center" wrapText="1"/>
    </xf>
    <xf numFmtId="0" fontId="136" fillId="0" borderId="98" xfId="0" applyFont="1" applyBorder="1" applyAlignment="1" applyProtection="1">
      <alignment horizontal="center" vertical="center"/>
    </xf>
    <xf numFmtId="235" fontId="135" fillId="26" borderId="97" xfId="0" applyNumberFormat="1" applyFont="1" applyFill="1" applyBorder="1" applyAlignment="1" applyProtection="1">
      <alignment horizontal="right" vertical="center" wrapText="1"/>
    </xf>
    <xf numFmtId="0" fontId="135" fillId="26" borderId="97" xfId="0" applyFont="1" applyFill="1" applyBorder="1" applyAlignment="1" applyProtection="1">
      <alignment horizontal="center" vertical="center"/>
    </xf>
    <xf numFmtId="216" fontId="30" fillId="2" borderId="55" xfId="0" applyNumberFormat="1" applyFont="1" applyFill="1" applyBorder="1" applyAlignment="1">
      <alignment horizontal="centerContinuous" vertical="center"/>
    </xf>
    <xf numFmtId="216" fontId="30" fillId="2" borderId="57" xfId="0" applyNumberFormat="1" applyFont="1" applyFill="1" applyBorder="1" applyAlignment="1">
      <alignment horizontal="centerContinuous" vertical="center"/>
    </xf>
    <xf numFmtId="0" fontId="0" fillId="0" borderId="52" xfId="0" applyBorder="1" applyAlignment="1">
      <alignment horizontal="center" vertical="center"/>
    </xf>
    <xf numFmtId="14" fontId="0" fillId="0" borderId="52" xfId="0" applyNumberFormat="1" applyBorder="1">
      <alignment vertical="center"/>
    </xf>
    <xf numFmtId="0" fontId="0" fillId="0" borderId="52" xfId="0" applyBorder="1">
      <alignment vertical="center"/>
    </xf>
    <xf numFmtId="41" fontId="0" fillId="0" borderId="52" xfId="1" applyFont="1" applyBorder="1">
      <alignment vertical="center"/>
    </xf>
    <xf numFmtId="9" fontId="0" fillId="0" borderId="52" xfId="2" applyFont="1" applyBorder="1">
      <alignment vertical="center"/>
    </xf>
    <xf numFmtId="0" fontId="0" fillId="0" borderId="99" xfId="0" applyFill="1" applyBorder="1" applyAlignment="1">
      <alignment horizontal="center" vertical="center"/>
    </xf>
    <xf numFmtId="41" fontId="0" fillId="0" borderId="99" xfId="1" applyFont="1" applyBorder="1">
      <alignment vertical="center"/>
    </xf>
    <xf numFmtId="0" fontId="0" fillId="0" borderId="99" xfId="0" applyBorder="1">
      <alignment vertical="center"/>
    </xf>
    <xf numFmtId="0" fontId="0" fillId="0" borderId="0" xfId="0" applyFill="1" applyBorder="1" applyAlignment="1">
      <alignment horizontal="center" vertical="center"/>
    </xf>
    <xf numFmtId="41" fontId="0" fillId="0" borderId="0" xfId="0" applyNumberFormat="1" applyBorder="1">
      <alignment vertical="center"/>
    </xf>
    <xf numFmtId="0" fontId="0" fillId="0" borderId="0" xfId="0" applyBorder="1">
      <alignment vertical="center"/>
    </xf>
    <xf numFmtId="41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1" fontId="0" fillId="0" borderId="0" xfId="1" applyFont="1">
      <alignment vertical="center"/>
    </xf>
    <xf numFmtId="41" fontId="0" fillId="0" borderId="100" xfId="1" applyFont="1" applyBorder="1">
      <alignment vertical="center"/>
    </xf>
    <xf numFmtId="237" fontId="130" fillId="2" borderId="33" xfId="370" applyNumberFormat="1" applyFont="1" applyFill="1" applyBorder="1">
      <alignment vertical="center"/>
    </xf>
    <xf numFmtId="236" fontId="130" fillId="2" borderId="34" xfId="371" applyFont="1" applyFill="1" applyBorder="1" applyAlignment="1">
      <alignment horizontal="left"/>
    </xf>
    <xf numFmtId="237" fontId="130" fillId="2" borderId="34" xfId="371" applyNumberFormat="1" applyFont="1" applyFill="1" applyBorder="1"/>
    <xf numFmtId="237" fontId="130" fillId="2" borderId="101" xfId="370" applyNumberFormat="1" applyFont="1" applyFill="1" applyBorder="1">
      <alignment vertical="center"/>
    </xf>
    <xf numFmtId="237" fontId="130" fillId="2" borderId="83" xfId="371" applyNumberFormat="1" applyFont="1" applyFill="1" applyBorder="1"/>
    <xf numFmtId="236" fontId="106" fillId="0" borderId="19" xfId="0" applyNumberFormat="1" applyFont="1" applyBorder="1" applyAlignment="1">
      <alignment horizontal="center" vertical="center"/>
    </xf>
    <xf numFmtId="236" fontId="106" fillId="0" borderId="21" xfId="0" applyNumberFormat="1" applyFont="1" applyBorder="1" applyAlignment="1">
      <alignment horizontal="center" vertical="center"/>
    </xf>
    <xf numFmtId="236" fontId="106" fillId="0" borderId="29" xfId="0" applyNumberFormat="1" applyFont="1" applyBorder="1" applyAlignment="1">
      <alignment horizontal="center" vertical="center"/>
    </xf>
    <xf numFmtId="236" fontId="106" fillId="0" borderId="20" xfId="0" applyNumberFormat="1" applyFont="1" applyBorder="1" applyAlignment="1">
      <alignment horizontal="center" vertical="center"/>
    </xf>
    <xf numFmtId="0" fontId="0" fillId="0" borderId="31" xfId="0" applyBorder="1">
      <alignment vertical="center"/>
    </xf>
    <xf numFmtId="0" fontId="0" fillId="0" borderId="15" xfId="0" applyBorder="1">
      <alignment vertical="center"/>
    </xf>
    <xf numFmtId="41" fontId="0" fillId="0" borderId="15" xfId="1" applyFont="1" applyBorder="1">
      <alignment vertical="center"/>
    </xf>
    <xf numFmtId="0" fontId="0" fillId="0" borderId="32" xfId="0" applyBorder="1">
      <alignment vertical="center"/>
    </xf>
    <xf numFmtId="41" fontId="0" fillId="0" borderId="21" xfId="1" applyFont="1" applyBorder="1" applyAlignment="1">
      <alignment vertical="center"/>
    </xf>
    <xf numFmtId="41" fontId="0" fillId="0" borderId="21" xfId="1" applyFont="1" applyBorder="1">
      <alignment vertical="center"/>
    </xf>
    <xf numFmtId="41" fontId="0" fillId="0" borderId="21" xfId="1" applyFont="1" applyFill="1" applyBorder="1">
      <alignment vertical="center"/>
    </xf>
    <xf numFmtId="0" fontId="0" fillId="0" borderId="21" xfId="0" applyBorder="1">
      <alignment vertical="center"/>
    </xf>
    <xf numFmtId="0" fontId="0" fillId="0" borderId="20" xfId="0" applyBorder="1">
      <alignment vertical="center"/>
    </xf>
    <xf numFmtId="235" fontId="139" fillId="30" borderId="103" xfId="0" applyNumberFormat="1" applyFont="1" applyFill="1" applyBorder="1" applyAlignment="1" applyProtection="1">
      <alignment horizontal="right" vertical="center" wrapText="1"/>
    </xf>
    <xf numFmtId="41" fontId="140" fillId="30" borderId="103" xfId="135" applyFont="1" applyFill="1" applyBorder="1" applyAlignment="1">
      <alignment horizontal="center" vertical="center"/>
    </xf>
    <xf numFmtId="0" fontId="53" fillId="38" borderId="104" xfId="0" applyFont="1" applyFill="1" applyBorder="1" applyAlignment="1">
      <alignment horizontal="center" vertical="center" wrapText="1"/>
    </xf>
    <xf numFmtId="14" fontId="0" fillId="0" borderId="0" xfId="0" applyNumberFormat="1">
      <alignment vertical="center"/>
    </xf>
    <xf numFmtId="9" fontId="0" fillId="0" borderId="0" xfId="2" applyFont="1">
      <alignment vertical="center"/>
    </xf>
    <xf numFmtId="49" fontId="135" fillId="26" borderId="105" xfId="0" applyNumberFormat="1" applyFont="1" applyFill="1" applyBorder="1" applyAlignment="1" applyProtection="1">
      <alignment horizontal="center" vertical="center"/>
    </xf>
    <xf numFmtId="0" fontId="136" fillId="0" borderId="102" xfId="0" applyFont="1" applyBorder="1" applyAlignment="1" applyProtection="1">
      <alignment horizontal="left" vertical="center"/>
    </xf>
    <xf numFmtId="235" fontId="136" fillId="0" borderId="102" xfId="0" applyNumberFormat="1" applyFont="1" applyBorder="1" applyAlignment="1" applyProtection="1">
      <alignment horizontal="right" vertical="center" wrapText="1"/>
    </xf>
    <xf numFmtId="0" fontId="136" fillId="0" borderId="102" xfId="0" applyFont="1" applyBorder="1" applyAlignment="1" applyProtection="1">
      <alignment horizontal="center" vertical="center"/>
    </xf>
    <xf numFmtId="0" fontId="135" fillId="26" borderId="105" xfId="0" applyFont="1" applyFill="1" applyBorder="1" applyAlignment="1" applyProtection="1">
      <alignment horizontal="left" vertical="center"/>
    </xf>
    <xf numFmtId="235" fontId="135" fillId="26" borderId="105" xfId="0" applyNumberFormat="1" applyFont="1" applyFill="1" applyBorder="1" applyAlignment="1" applyProtection="1">
      <alignment horizontal="right" vertical="center" wrapText="1"/>
    </xf>
    <xf numFmtId="0" fontId="135" fillId="26" borderId="105" xfId="0" applyFont="1" applyFill="1" applyBorder="1" applyAlignment="1" applyProtection="1">
      <alignment horizontal="center" vertical="center"/>
    </xf>
    <xf numFmtId="216" fontId="30" fillId="2" borderId="106" xfId="0" applyNumberFormat="1" applyFont="1" applyFill="1" applyBorder="1" applyAlignment="1">
      <alignment horizontal="centerContinuous" vertical="center"/>
    </xf>
    <xf numFmtId="216" fontId="30" fillId="2" borderId="106" xfId="4" applyNumberFormat="1" applyFont="1" applyFill="1" applyBorder="1" applyAlignment="1">
      <alignment horizontal="centerContinuous" vertical="center"/>
    </xf>
    <xf numFmtId="216" fontId="30" fillId="2" borderId="0" xfId="4" applyNumberFormat="1" applyFont="1" applyFill="1" applyBorder="1" applyAlignment="1">
      <alignment horizontal="centerContinuous" vertical="center"/>
    </xf>
    <xf numFmtId="216" fontId="30" fillId="2" borderId="0" xfId="0" applyNumberFormat="1" applyFont="1" applyFill="1" applyBorder="1" applyAlignment="1">
      <alignment horizontal="centerContinuous" vertical="center"/>
    </xf>
    <xf numFmtId="216" fontId="33" fillId="2" borderId="0" xfId="4" applyNumberFormat="1" applyFont="1" applyFill="1" applyBorder="1" applyAlignment="1">
      <alignment horizontal="center" vertical="center"/>
    </xf>
    <xf numFmtId="14" fontId="28" fillId="2" borderId="0" xfId="4" quotePrefix="1" applyNumberFormat="1" applyFont="1" applyFill="1" applyBorder="1" applyAlignment="1">
      <alignment horizontal="center" vertical="center"/>
    </xf>
    <xf numFmtId="216" fontId="28" fillId="2" borderId="0" xfId="4" applyNumberFormat="1" applyFont="1" applyFill="1" applyBorder="1" applyAlignment="1">
      <alignment horizontal="center" vertical="center"/>
    </xf>
    <xf numFmtId="41" fontId="0" fillId="0" borderId="0" xfId="1" applyNumberFormat="1" applyFont="1">
      <alignment vertical="center"/>
    </xf>
    <xf numFmtId="0" fontId="141" fillId="0" borderId="0" xfId="0" applyFont="1">
      <alignment vertical="center"/>
    </xf>
    <xf numFmtId="49" fontId="143" fillId="30" borderId="105" xfId="0" applyNumberFormat="1" applyFont="1" applyFill="1" applyBorder="1" applyAlignment="1" applyProtection="1">
      <alignment horizontal="center" vertical="center"/>
    </xf>
    <xf numFmtId="0" fontId="136" fillId="40" borderId="102" xfId="0" applyFont="1" applyFill="1" applyBorder="1" applyAlignment="1" applyProtection="1">
      <alignment horizontal="left" vertical="center"/>
    </xf>
    <xf numFmtId="235" fontId="136" fillId="40" borderId="102" xfId="0" applyNumberFormat="1" applyFont="1" applyFill="1" applyBorder="1" applyAlignment="1" applyProtection="1">
      <alignment horizontal="right" vertical="center" wrapText="1"/>
    </xf>
    <xf numFmtId="49" fontId="144" fillId="39" borderId="110" xfId="0" applyNumberFormat="1" applyFont="1" applyFill="1" applyBorder="1" applyAlignment="1" applyProtection="1">
      <alignment horizontal="center" vertical="center"/>
    </xf>
    <xf numFmtId="0" fontId="142" fillId="39" borderId="108" xfId="0" applyFont="1" applyFill="1" applyBorder="1" applyAlignment="1" applyProtection="1">
      <alignment horizontal="center" vertical="center"/>
    </xf>
    <xf numFmtId="0" fontId="142" fillId="39" borderId="108" xfId="0" applyFont="1" applyFill="1" applyBorder="1" applyAlignment="1" applyProtection="1">
      <alignment horizontal="left" vertical="center"/>
    </xf>
    <xf numFmtId="235" fontId="142" fillId="39" borderId="108" xfId="0" applyNumberFormat="1" applyFont="1" applyFill="1" applyBorder="1" applyAlignment="1" applyProtection="1">
      <alignment horizontal="right" vertical="center" wrapText="1"/>
    </xf>
    <xf numFmtId="238" fontId="142" fillId="39" borderId="108" xfId="0" applyNumberFormat="1" applyFont="1" applyFill="1" applyBorder="1" applyAlignment="1" applyProtection="1">
      <alignment horizontal="right" vertical="center" wrapText="1"/>
    </xf>
    <xf numFmtId="235" fontId="142" fillId="39" borderId="109" xfId="0" applyNumberFormat="1" applyFont="1" applyFill="1" applyBorder="1" applyAlignment="1" applyProtection="1">
      <alignment horizontal="right" vertical="center" wrapText="1"/>
    </xf>
    <xf numFmtId="0" fontId="142" fillId="39" borderId="112" xfId="0" applyFont="1" applyFill="1" applyBorder="1" applyAlignment="1" applyProtection="1">
      <alignment horizontal="center" vertical="center"/>
    </xf>
    <xf numFmtId="0" fontId="142" fillId="39" borderId="112" xfId="0" applyFont="1" applyFill="1" applyBorder="1" applyAlignment="1" applyProtection="1">
      <alignment horizontal="left" vertical="center"/>
    </xf>
    <xf numFmtId="235" fontId="142" fillId="39" borderId="112" xfId="0" applyNumberFormat="1" applyFont="1" applyFill="1" applyBorder="1" applyAlignment="1" applyProtection="1">
      <alignment horizontal="right" vertical="center" wrapText="1"/>
    </xf>
    <xf numFmtId="238" fontId="142" fillId="39" borderId="112" xfId="0" applyNumberFormat="1" applyFont="1" applyFill="1" applyBorder="1" applyAlignment="1" applyProtection="1">
      <alignment horizontal="right" vertical="center" wrapText="1"/>
    </xf>
    <xf numFmtId="235" fontId="142" fillId="39" borderId="113" xfId="0" applyNumberFormat="1" applyFont="1" applyFill="1" applyBorder="1" applyAlignment="1" applyProtection="1">
      <alignment horizontal="right" vertical="center" wrapText="1"/>
    </xf>
    <xf numFmtId="0" fontId="142" fillId="39" borderId="110" xfId="0" applyFont="1" applyFill="1" applyBorder="1" applyAlignment="1" applyProtection="1">
      <alignment horizontal="center" vertical="center"/>
    </xf>
    <xf numFmtId="0" fontId="142" fillId="39" borderId="110" xfId="0" applyFont="1" applyFill="1" applyBorder="1" applyAlignment="1" applyProtection="1">
      <alignment horizontal="left" vertical="center"/>
    </xf>
    <xf numFmtId="235" fontId="142" fillId="39" borderId="110" xfId="0" applyNumberFormat="1" applyFont="1" applyFill="1" applyBorder="1" applyAlignment="1" applyProtection="1">
      <alignment horizontal="right" vertical="center" wrapText="1"/>
    </xf>
    <xf numFmtId="238" fontId="142" fillId="39" borderId="110" xfId="0" applyNumberFormat="1" applyFont="1" applyFill="1" applyBorder="1" applyAlignment="1" applyProtection="1">
      <alignment horizontal="right" vertical="center" wrapText="1"/>
    </xf>
    <xf numFmtId="235" fontId="142" fillId="39" borderId="111" xfId="0" applyNumberFormat="1" applyFont="1" applyFill="1" applyBorder="1" applyAlignment="1" applyProtection="1">
      <alignment horizontal="right" vertical="center" wrapText="1"/>
    </xf>
    <xf numFmtId="0" fontId="144" fillId="39" borderId="114" xfId="0" applyFont="1" applyFill="1" applyBorder="1" applyAlignment="1" applyProtection="1">
      <alignment horizontal="center" vertical="center"/>
    </xf>
    <xf numFmtId="235" fontId="144" fillId="39" borderId="114" xfId="0" applyNumberFormat="1" applyFont="1" applyFill="1" applyBorder="1" applyAlignment="1" applyProtection="1">
      <alignment horizontal="right" vertical="center" wrapText="1"/>
    </xf>
    <xf numFmtId="238" fontId="144" fillId="39" borderId="114" xfId="0" applyNumberFormat="1" applyFont="1" applyFill="1" applyBorder="1" applyAlignment="1" applyProtection="1">
      <alignment horizontal="right" vertical="center" wrapText="1"/>
    </xf>
    <xf numFmtId="235" fontId="144" fillId="39" borderId="115" xfId="0" applyNumberFormat="1" applyFont="1" applyFill="1" applyBorder="1" applyAlignment="1" applyProtection="1">
      <alignment horizontal="right" vertical="center" wrapText="1"/>
    </xf>
    <xf numFmtId="216" fontId="30" fillId="2" borderId="0" xfId="4" applyNumberFormat="1" applyFont="1" applyFill="1" applyBorder="1" applyAlignment="1">
      <alignment horizontal="center" vertical="center"/>
    </xf>
    <xf numFmtId="49" fontId="144" fillId="39" borderId="0" xfId="0" applyNumberFormat="1" applyFont="1" applyFill="1" applyBorder="1" applyAlignment="1" applyProtection="1">
      <alignment horizontal="center" vertical="center"/>
    </xf>
    <xf numFmtId="235" fontId="144" fillId="39" borderId="0" xfId="0" applyNumberFormat="1" applyFont="1" applyFill="1" applyBorder="1" applyAlignment="1" applyProtection="1">
      <alignment horizontal="right" vertical="center" wrapText="1"/>
    </xf>
    <xf numFmtId="216" fontId="30" fillId="2" borderId="52" xfId="4" applyNumberFormat="1" applyFont="1" applyFill="1" applyBorder="1" applyAlignment="1">
      <alignment horizontal="center" vertical="center"/>
    </xf>
    <xf numFmtId="239" fontId="131" fillId="0" borderId="0" xfId="372" applyNumberFormat="1" applyFont="1"/>
    <xf numFmtId="239" fontId="130" fillId="0" borderId="0" xfId="372" applyNumberFormat="1" applyFont="1"/>
    <xf numFmtId="239" fontId="145" fillId="0" borderId="0" xfId="372" applyNumberFormat="1" applyFont="1"/>
    <xf numFmtId="239" fontId="146" fillId="0" borderId="0" xfId="372" applyNumberFormat="1" applyFont="1" applyAlignment="1"/>
    <xf numFmtId="239" fontId="130" fillId="38" borderId="106" xfId="372" applyNumberFormat="1" applyFont="1" applyFill="1" applyBorder="1" applyAlignment="1">
      <alignment horizontal="center"/>
    </xf>
    <xf numFmtId="239" fontId="130" fillId="0" borderId="0" xfId="372" applyNumberFormat="1" applyFont="1" applyAlignment="1">
      <alignment horizontal="center"/>
    </xf>
    <xf numFmtId="239" fontId="130" fillId="0" borderId="0" xfId="372" applyNumberFormat="1" applyFont="1" applyFill="1"/>
    <xf numFmtId="239" fontId="130" fillId="0" borderId="100" xfId="372" applyNumberFormat="1" applyFont="1" applyBorder="1"/>
    <xf numFmtId="239" fontId="146" fillId="38" borderId="0" xfId="372" applyNumberFormat="1" applyFont="1" applyFill="1" applyAlignment="1">
      <alignment horizontal="center"/>
    </xf>
    <xf numFmtId="239" fontId="146" fillId="38" borderId="0" xfId="372" applyNumberFormat="1" applyFont="1" applyFill="1" applyBorder="1" applyAlignment="1">
      <alignment horizontal="center"/>
    </xf>
    <xf numFmtId="239" fontId="147" fillId="0" borderId="0" xfId="372" applyNumberFormat="1" applyFont="1"/>
    <xf numFmtId="239" fontId="130" fillId="0" borderId="0" xfId="372" applyNumberFormat="1" applyFont="1" applyBorder="1"/>
    <xf numFmtId="239" fontId="130" fillId="0" borderId="0" xfId="372" applyNumberFormat="1" applyFont="1" applyBorder="1" applyAlignment="1">
      <alignment horizontal="left"/>
    </xf>
    <xf numFmtId="239" fontId="130" fillId="0" borderId="0" xfId="372" applyNumberFormat="1" applyFont="1" applyFill="1" applyAlignment="1">
      <alignment horizontal="center"/>
    </xf>
    <xf numFmtId="239" fontId="147" fillId="0" borderId="0" xfId="372" applyNumberFormat="1" applyFont="1" applyFill="1"/>
    <xf numFmtId="239" fontId="130" fillId="0" borderId="9" xfId="372" applyNumberFormat="1" applyFont="1" applyBorder="1"/>
    <xf numFmtId="239" fontId="130" fillId="0" borderId="100" xfId="372" applyNumberFormat="1" applyFont="1" applyBorder="1" applyAlignment="1">
      <alignment horizontal="center"/>
    </xf>
    <xf numFmtId="239" fontId="130" fillId="0" borderId="100" xfId="372" applyNumberFormat="1" applyFont="1" applyFill="1" applyBorder="1"/>
    <xf numFmtId="239" fontId="148" fillId="0" borderId="0" xfId="372" applyNumberFormat="1" applyFont="1"/>
    <xf numFmtId="239" fontId="130" fillId="0" borderId="0" xfId="372" applyNumberFormat="1" applyFont="1" applyAlignment="1"/>
    <xf numFmtId="239" fontId="130" fillId="0" borderId="0" xfId="372" applyNumberFormat="1" applyFont="1" applyAlignment="1">
      <alignment horizontal="right"/>
    </xf>
    <xf numFmtId="239" fontId="130" fillId="0" borderId="0" xfId="372" applyNumberFormat="1" applyFont="1" applyAlignment="1">
      <alignment horizontal="left"/>
    </xf>
    <xf numFmtId="236" fontId="130" fillId="0" borderId="0" xfId="373" applyNumberFormat="1" applyFont="1"/>
    <xf numFmtId="0" fontId="144" fillId="41" borderId="52" xfId="0" applyFont="1" applyFill="1" applyBorder="1" applyAlignment="1">
      <alignment horizontal="center" vertical="center"/>
    </xf>
    <xf numFmtId="0" fontId="142" fillId="0" borderId="9" xfId="0" applyFont="1" applyFill="1" applyBorder="1" applyAlignment="1">
      <alignment horizontal="center" vertical="center"/>
    </xf>
    <xf numFmtId="0" fontId="142" fillId="0" borderId="9" xfId="0" applyFont="1" applyFill="1" applyBorder="1" applyAlignment="1">
      <alignment horizontal="left" vertical="center" wrapText="1"/>
    </xf>
    <xf numFmtId="240" fontId="142" fillId="0" borderId="9" xfId="0" applyNumberFormat="1" applyFont="1" applyFill="1" applyBorder="1" applyAlignment="1">
      <alignment horizontal="right" vertical="center"/>
    </xf>
    <xf numFmtId="0" fontId="142" fillId="0" borderId="9" xfId="0" applyFont="1" applyFill="1" applyBorder="1" applyAlignment="1">
      <alignment horizontal="right" vertical="center"/>
    </xf>
    <xf numFmtId="9" fontId="28" fillId="0" borderId="0" xfId="2" applyFont="1" applyFill="1" applyAlignment="1">
      <alignment vertical="center"/>
    </xf>
    <xf numFmtId="0" fontId="0" fillId="0" borderId="119" xfId="0" applyBorder="1">
      <alignment vertical="center"/>
    </xf>
    <xf numFmtId="0" fontId="0" fillId="0" borderId="84" xfId="0" applyBorder="1">
      <alignment vertical="center"/>
    </xf>
    <xf numFmtId="0" fontId="0" fillId="0" borderId="120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0" borderId="101" xfId="0" applyBorder="1">
      <alignment vertical="center"/>
    </xf>
    <xf numFmtId="0" fontId="0" fillId="0" borderId="36" xfId="0" applyBorder="1">
      <alignment vertical="center"/>
    </xf>
    <xf numFmtId="0" fontId="0" fillId="0" borderId="83" xfId="0" applyBorder="1">
      <alignment vertical="center"/>
    </xf>
    <xf numFmtId="236" fontId="126" fillId="0" borderId="0" xfId="370" quotePrefix="1" applyFont="1" applyFill="1">
      <alignment vertical="center"/>
    </xf>
    <xf numFmtId="236" fontId="126" fillId="0" borderId="0" xfId="370" applyFont="1">
      <alignment vertical="center"/>
    </xf>
    <xf numFmtId="236" fontId="126" fillId="0" borderId="0" xfId="370" applyFont="1" applyFill="1" applyBorder="1">
      <alignment vertical="center"/>
    </xf>
    <xf numFmtId="236" fontId="126" fillId="2" borderId="0" xfId="376" applyFont="1" applyFill="1"/>
    <xf numFmtId="236" fontId="17" fillId="2" borderId="0" xfId="376" quotePrefix="1" applyFont="1" applyFill="1"/>
    <xf numFmtId="236" fontId="17" fillId="2" borderId="0" xfId="376" applyFont="1" applyFill="1"/>
    <xf numFmtId="236" fontId="126" fillId="0" borderId="0" xfId="370" applyFont="1" applyFill="1">
      <alignment vertical="center"/>
    </xf>
    <xf numFmtId="0" fontId="2" fillId="0" borderId="0" xfId="0" applyFont="1">
      <alignment vertical="center"/>
    </xf>
    <xf numFmtId="236" fontId="126" fillId="2" borderId="0" xfId="376" applyFont="1" applyFill="1" applyAlignment="1">
      <alignment horizontal="right"/>
    </xf>
    <xf numFmtId="236" fontId="126" fillId="0" borderId="52" xfId="377" applyFont="1" applyFill="1" applyBorder="1" applyAlignment="1">
      <alignment horizontal="center"/>
    </xf>
    <xf numFmtId="236" fontId="126" fillId="0" borderId="52" xfId="370" applyFont="1" applyFill="1" applyBorder="1" applyAlignment="1">
      <alignment horizontal="center" vertical="center"/>
    </xf>
    <xf numFmtId="14" fontId="151" fillId="0" borderId="52" xfId="377" applyNumberFormat="1" applyFont="1" applyFill="1" applyBorder="1" applyAlignment="1">
      <alignment horizontal="center" vertical="center"/>
    </xf>
    <xf numFmtId="236" fontId="126" fillId="0" borderId="52" xfId="378" applyFont="1" applyBorder="1">
      <alignment vertical="center"/>
    </xf>
    <xf numFmtId="3" fontId="126" fillId="0" borderId="52" xfId="379" applyNumberFormat="1" applyFont="1" applyBorder="1"/>
    <xf numFmtId="236" fontId="152" fillId="0" borderId="52" xfId="370" applyFont="1" applyFill="1" applyBorder="1" applyAlignment="1">
      <alignment horizontal="center" vertical="center"/>
    </xf>
    <xf numFmtId="14" fontId="151" fillId="0" borderId="0" xfId="377" applyNumberFormat="1" applyFont="1" applyBorder="1" applyAlignment="1">
      <alignment horizontal="center" vertical="center"/>
    </xf>
    <xf numFmtId="236" fontId="151" fillId="0" borderId="0" xfId="377" applyFont="1" applyBorder="1" applyAlignment="1">
      <alignment horizontal="left" vertical="center"/>
    </xf>
    <xf numFmtId="41" fontId="126" fillId="0" borderId="0" xfId="380" applyFont="1" applyFill="1" applyBorder="1" applyAlignment="1"/>
    <xf numFmtId="41" fontId="126" fillId="0" borderId="0" xfId="370" applyNumberFormat="1" applyFont="1" applyFill="1">
      <alignment vertical="center"/>
    </xf>
    <xf numFmtId="10" fontId="73" fillId="0" borderId="100" xfId="381" applyNumberFormat="1" applyFont="1" applyFill="1" applyBorder="1">
      <alignment vertical="center"/>
    </xf>
    <xf numFmtId="236" fontId="126" fillId="0" borderId="0" xfId="370" applyFont="1" applyAlignment="1">
      <alignment horizontal="left" vertical="center"/>
    </xf>
    <xf numFmtId="236" fontId="153" fillId="2" borderId="0" xfId="376" applyFont="1" applyFill="1"/>
    <xf numFmtId="0" fontId="0" fillId="30" borderId="124" xfId="0" applyFill="1" applyBorder="1">
      <alignment vertical="center"/>
    </xf>
    <xf numFmtId="0" fontId="0" fillId="30" borderId="125" xfId="0" applyFill="1" applyBorder="1">
      <alignment vertical="center"/>
    </xf>
    <xf numFmtId="0" fontId="0" fillId="30" borderId="126" xfId="0" applyFill="1" applyBorder="1">
      <alignment vertical="center"/>
    </xf>
    <xf numFmtId="0" fontId="0" fillId="30" borderId="33" xfId="0" applyFill="1" applyBorder="1">
      <alignment vertical="center"/>
    </xf>
    <xf numFmtId="0" fontId="0" fillId="30" borderId="0" xfId="0" applyFill="1" applyBorder="1">
      <alignment vertical="center"/>
    </xf>
    <xf numFmtId="41" fontId="0" fillId="30" borderId="0" xfId="0" applyNumberFormat="1" applyFill="1" applyBorder="1">
      <alignment vertical="center"/>
    </xf>
    <xf numFmtId="41" fontId="0" fillId="30" borderId="34" xfId="0" applyNumberFormat="1" applyFill="1" applyBorder="1">
      <alignment vertical="center"/>
    </xf>
    <xf numFmtId="0" fontId="0" fillId="30" borderId="34" xfId="0" applyFill="1" applyBorder="1">
      <alignment vertical="center"/>
    </xf>
    <xf numFmtId="41" fontId="0" fillId="30" borderId="0" xfId="1" applyFont="1" applyFill="1" applyBorder="1">
      <alignment vertical="center"/>
    </xf>
    <xf numFmtId="41" fontId="0" fillId="30" borderId="34" xfId="1" applyFont="1" applyFill="1" applyBorder="1">
      <alignment vertical="center"/>
    </xf>
    <xf numFmtId="0" fontId="0" fillId="30" borderId="101" xfId="0" applyFill="1" applyBorder="1">
      <alignment vertical="center"/>
    </xf>
    <xf numFmtId="0" fontId="0" fillId="30" borderId="36" xfId="0" applyFill="1" applyBorder="1">
      <alignment vertical="center"/>
    </xf>
    <xf numFmtId="41" fontId="0" fillId="30" borderId="36" xfId="1" applyFont="1" applyFill="1" applyBorder="1">
      <alignment vertical="center"/>
    </xf>
    <xf numFmtId="41" fontId="0" fillId="30" borderId="83" xfId="1" applyFont="1" applyFill="1" applyBorder="1">
      <alignment vertical="center"/>
    </xf>
    <xf numFmtId="9" fontId="0" fillId="0" borderId="0" xfId="2" applyFont="1" applyFill="1" applyBorder="1">
      <alignment vertical="center"/>
    </xf>
    <xf numFmtId="0" fontId="144" fillId="41" borderId="12" xfId="0" applyFont="1" applyFill="1" applyBorder="1" applyAlignment="1">
      <alignment horizontal="center" vertical="center"/>
    </xf>
    <xf numFmtId="0" fontId="73" fillId="0" borderId="0" xfId="0" applyFont="1">
      <alignment vertical="center"/>
    </xf>
    <xf numFmtId="216" fontId="131" fillId="2" borderId="1" xfId="0" applyNumberFormat="1" applyFont="1" applyFill="1" applyBorder="1" applyAlignment="1">
      <alignment horizontal="centerContinuous" vertical="center"/>
    </xf>
    <xf numFmtId="216" fontId="131" fillId="2" borderId="2" xfId="0" applyNumberFormat="1" applyFont="1" applyFill="1" applyBorder="1" applyAlignment="1">
      <alignment horizontal="centerContinuous" vertical="center"/>
    </xf>
    <xf numFmtId="216" fontId="131" fillId="2" borderId="4" xfId="4" applyNumberFormat="1" applyFont="1" applyFill="1" applyBorder="1" applyAlignment="1">
      <alignment horizontal="center" vertical="center"/>
    </xf>
    <xf numFmtId="216" fontId="131" fillId="2" borderId="1" xfId="4" applyNumberFormat="1" applyFont="1" applyFill="1" applyBorder="1" applyAlignment="1">
      <alignment horizontal="centerContinuous" vertical="center"/>
    </xf>
    <xf numFmtId="236" fontId="73" fillId="0" borderId="52" xfId="374" applyFont="1" applyBorder="1" applyAlignment="1">
      <alignment horizontal="center" vertical="center"/>
    </xf>
    <xf numFmtId="14" fontId="73" fillId="0" borderId="52" xfId="374" applyNumberFormat="1" applyFont="1" applyBorder="1" applyAlignment="1">
      <alignment horizontal="center" vertical="center"/>
    </xf>
    <xf numFmtId="41" fontId="73" fillId="0" borderId="52" xfId="1" applyFont="1" applyBorder="1" applyAlignment="1">
      <alignment horizontal="center" vertical="center"/>
    </xf>
    <xf numFmtId="41" fontId="73" fillId="0" borderId="52" xfId="321" applyFont="1" applyBorder="1" applyAlignment="1">
      <alignment horizontal="center" vertical="center"/>
    </xf>
    <xf numFmtId="236" fontId="150" fillId="0" borderId="127" xfId="374" applyFont="1" applyBorder="1" applyAlignment="1">
      <alignment horizontal="center" vertical="center"/>
    </xf>
    <xf numFmtId="236" fontId="150" fillId="0" borderId="128" xfId="374" applyFont="1" applyBorder="1" applyAlignment="1">
      <alignment horizontal="center" vertical="center"/>
    </xf>
    <xf numFmtId="41" fontId="150" fillId="0" borderId="128" xfId="321" applyFont="1" applyBorder="1" applyAlignment="1">
      <alignment horizontal="center" vertical="center"/>
    </xf>
    <xf numFmtId="236" fontId="73" fillId="0" borderId="65" xfId="374" applyFont="1" applyBorder="1" applyAlignment="1">
      <alignment horizontal="center" vertical="center"/>
    </xf>
    <xf numFmtId="236" fontId="73" fillId="0" borderId="66" xfId="374" applyFont="1" applyBorder="1" applyAlignment="1">
      <alignment horizontal="center" vertical="center"/>
    </xf>
    <xf numFmtId="236" fontId="73" fillId="0" borderId="67" xfId="374" applyFont="1" applyBorder="1" applyAlignment="1">
      <alignment horizontal="center" vertical="center"/>
    </xf>
    <xf numFmtId="236" fontId="73" fillId="0" borderId="68" xfId="374" applyFont="1" applyBorder="1" applyAlignment="1">
      <alignment horizontal="center" vertical="center"/>
    </xf>
    <xf numFmtId="14" fontId="73" fillId="0" borderId="68" xfId="374" applyNumberFormat="1" applyFont="1" applyBorder="1" applyAlignment="1">
      <alignment horizontal="center" vertical="center"/>
    </xf>
    <xf numFmtId="41" fontId="73" fillId="0" borderId="68" xfId="1" applyFont="1" applyBorder="1" applyAlignment="1">
      <alignment horizontal="center" vertical="center"/>
    </xf>
    <xf numFmtId="41" fontId="73" fillId="0" borderId="68" xfId="321" applyFont="1" applyBorder="1" applyAlignment="1">
      <alignment horizontal="center" vertical="center"/>
    </xf>
    <xf numFmtId="236" fontId="73" fillId="0" borderId="69" xfId="374" applyFont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154" fillId="42" borderId="130" xfId="0" applyFont="1" applyFill="1" applyBorder="1">
      <alignment vertical="center"/>
    </xf>
    <xf numFmtId="0" fontId="154" fillId="42" borderId="131" xfId="0" applyFont="1" applyFill="1" applyBorder="1" applyAlignment="1">
      <alignment horizontal="left" vertical="center"/>
    </xf>
    <xf numFmtId="41" fontId="154" fillId="42" borderId="131" xfId="0" applyNumberFormat="1" applyFont="1" applyFill="1" applyBorder="1">
      <alignment vertical="center"/>
    </xf>
    <xf numFmtId="41" fontId="0" fillId="30" borderId="0" xfId="0" applyNumberFormat="1" applyFill="1">
      <alignment vertical="center"/>
    </xf>
    <xf numFmtId="239" fontId="146" fillId="38" borderId="0" xfId="372" applyNumberFormat="1" applyFont="1" applyFill="1" applyAlignment="1">
      <alignment horizontal="left"/>
    </xf>
    <xf numFmtId="236" fontId="150" fillId="0" borderId="129" xfId="374" applyFont="1" applyBorder="1" applyAlignment="1">
      <alignment horizontal="center" vertical="center"/>
    </xf>
    <xf numFmtId="236" fontId="158" fillId="26" borderId="0" xfId="382" applyNumberFormat="1" applyFont="1" applyFill="1" applyAlignment="1" applyProtection="1">
      <alignment horizontal="center" vertical="center" wrapText="1"/>
    </xf>
    <xf numFmtId="0" fontId="144" fillId="41" borderId="132" xfId="0" applyFont="1" applyFill="1" applyBorder="1" applyAlignment="1">
      <alignment horizontal="center" vertical="center"/>
    </xf>
    <xf numFmtId="240" fontId="142" fillId="30" borderId="9" xfId="0" applyNumberFormat="1" applyFont="1" applyFill="1" applyBorder="1" applyAlignment="1">
      <alignment horizontal="right" vertical="center"/>
    </xf>
    <xf numFmtId="41" fontId="159" fillId="0" borderId="0" xfId="1" applyFont="1" applyBorder="1" applyAlignment="1">
      <alignment horizontal="right"/>
    </xf>
    <xf numFmtId="0" fontId="0" fillId="0" borderId="132" xfId="0" applyBorder="1">
      <alignment vertical="center"/>
    </xf>
    <xf numFmtId="241" fontId="0" fillId="0" borderId="132" xfId="0" applyNumberFormat="1" applyBorder="1">
      <alignment vertical="center"/>
    </xf>
    <xf numFmtId="3" fontId="6" fillId="30" borderId="13" xfId="0" applyNumberFormat="1" applyFont="1" applyFill="1" applyBorder="1" applyAlignment="1">
      <alignment horizontal="right"/>
    </xf>
    <xf numFmtId="3" fontId="6" fillId="30" borderId="0" xfId="0" quotePrefix="1" applyNumberFormat="1" applyFont="1" applyFill="1" applyBorder="1" applyAlignment="1">
      <alignment horizontal="right"/>
    </xf>
    <xf numFmtId="3" fontId="20" fillId="30" borderId="0" xfId="0" applyNumberFormat="1" applyFont="1" applyFill="1" applyBorder="1" applyAlignment="1">
      <alignment horizontal="left"/>
    </xf>
    <xf numFmtId="3" fontId="6" fillId="30" borderId="14" xfId="0" applyNumberFormat="1" applyFont="1" applyFill="1" applyBorder="1" applyAlignment="1">
      <alignment horizontal="left"/>
    </xf>
    <xf numFmtId="216" fontId="6" fillId="30" borderId="15" xfId="1" applyNumberFormat="1" applyFont="1" applyFill="1" applyBorder="1" applyAlignment="1">
      <alignment horizontal="right"/>
    </xf>
    <xf numFmtId="0" fontId="0" fillId="30" borderId="0" xfId="0" applyFill="1">
      <alignment vertical="center"/>
    </xf>
    <xf numFmtId="0" fontId="0" fillId="0" borderId="132" xfId="0" applyBorder="1" applyAlignment="1">
      <alignment horizontal="center" vertical="center"/>
    </xf>
    <xf numFmtId="216" fontId="6" fillId="0" borderId="13" xfId="1" applyNumberFormat="1" applyFont="1" applyBorder="1" applyAlignment="1">
      <alignment horizontal="right"/>
    </xf>
    <xf numFmtId="216" fontId="6" fillId="30" borderId="13" xfId="1" applyNumberFormat="1" applyFont="1" applyFill="1" applyBorder="1" applyAlignment="1">
      <alignment horizontal="right"/>
    </xf>
    <xf numFmtId="216" fontId="6" fillId="0" borderId="7" xfId="1" applyNumberFormat="1" applyFont="1" applyBorder="1" applyAlignment="1">
      <alignment horizontal="right"/>
    </xf>
    <xf numFmtId="216" fontId="6" fillId="0" borderId="133" xfId="1" applyNumberFormat="1" applyFont="1" applyBorder="1" applyAlignment="1">
      <alignment horizontal="right"/>
    </xf>
    <xf numFmtId="216" fontId="6" fillId="0" borderId="7" xfId="0" applyNumberFormat="1" applyFont="1" applyBorder="1" applyAlignment="1">
      <alignment horizontal="right"/>
    </xf>
    <xf numFmtId="216" fontId="0" fillId="0" borderId="132" xfId="0" applyNumberFormat="1" applyBorder="1">
      <alignment vertical="center"/>
    </xf>
    <xf numFmtId="41" fontId="0" fillId="0" borderId="132" xfId="1" applyFont="1" applyBorder="1">
      <alignment vertical="center"/>
    </xf>
    <xf numFmtId="0" fontId="0" fillId="30" borderId="132" xfId="0" applyFill="1" applyBorder="1">
      <alignment vertical="center"/>
    </xf>
    <xf numFmtId="216" fontId="6" fillId="30" borderId="0" xfId="0" applyNumberFormat="1" applyFont="1" applyFill="1" applyBorder="1" applyAlignment="1">
      <alignment horizontal="right"/>
    </xf>
    <xf numFmtId="3" fontId="6" fillId="0" borderId="0" xfId="3" applyNumberFormat="1" applyFont="1" applyBorder="1" applyAlignment="1">
      <alignment vertical="center"/>
    </xf>
    <xf numFmtId="216" fontId="6" fillId="0" borderId="0" xfId="0" applyNumberFormat="1" applyFont="1" applyBorder="1" applyAlignment="1">
      <alignment horizontal="right"/>
    </xf>
    <xf numFmtId="216" fontId="6" fillId="0" borderId="0" xfId="1" applyNumberFormat="1" applyFont="1" applyBorder="1" applyAlignment="1">
      <alignment horizontal="right"/>
    </xf>
    <xf numFmtId="3" fontId="6" fillId="0" borderId="107" xfId="3" applyNumberFormat="1" applyFont="1" applyBorder="1" applyAlignment="1">
      <alignment vertical="center"/>
    </xf>
    <xf numFmtId="216" fontId="6" fillId="0" borderId="60" xfId="1" applyNumberFormat="1" applyFont="1" applyBorder="1" applyAlignment="1">
      <alignment horizontal="right"/>
    </xf>
    <xf numFmtId="235" fontId="136" fillId="30" borderId="102" xfId="0" applyNumberFormat="1" applyFont="1" applyFill="1" applyBorder="1" applyAlignment="1" applyProtection="1">
      <alignment horizontal="right" vertical="center" wrapText="1"/>
    </xf>
    <xf numFmtId="186" fontId="15" fillId="0" borderId="0" xfId="4" applyNumberFormat="1" applyFont="1" applyBorder="1" applyAlignment="1">
      <alignment horizontal="centerContinuous"/>
    </xf>
    <xf numFmtId="186" fontId="13" fillId="0" borderId="0" xfId="4" applyNumberFormat="1" applyFont="1" applyAlignment="1">
      <alignment horizontal="centerContinuous"/>
    </xf>
    <xf numFmtId="186" fontId="13" fillId="0" borderId="0" xfId="4" applyNumberFormat="1" applyFont="1" applyBorder="1" applyAlignment="1">
      <alignment horizontal="centerContinuous"/>
    </xf>
    <xf numFmtId="186" fontId="13" fillId="0" borderId="0" xfId="4" applyNumberFormat="1" applyFont="1" applyFill="1" applyAlignment="1">
      <alignment horizontal="centerContinuous"/>
    </xf>
    <xf numFmtId="186" fontId="13" fillId="0" borderId="0" xfId="4" applyNumberFormat="1" applyFont="1" applyBorder="1" applyAlignment="1">
      <alignment horizontal="left"/>
    </xf>
    <xf numFmtId="186" fontId="13" fillId="0" borderId="0" xfId="4" quotePrefix="1" applyNumberFormat="1" applyFont="1" applyBorder="1" applyAlignment="1">
      <alignment horizontal="centerContinuous"/>
    </xf>
    <xf numFmtId="186" fontId="14" fillId="0" borderId="0" xfId="4" applyNumberFormat="1" applyFont="1" applyAlignment="1">
      <alignment horizontal="centerContinuous"/>
    </xf>
    <xf numFmtId="186" fontId="6" fillId="0" borderId="0" xfId="4" applyNumberFormat="1" applyFont="1" applyAlignment="1">
      <alignment horizontal="centerContinuous"/>
    </xf>
    <xf numFmtId="186" fontId="6" fillId="0" borderId="0" xfId="4" applyNumberFormat="1" applyFont="1" applyFill="1" applyAlignment="1">
      <alignment horizontal="centerContinuous"/>
    </xf>
    <xf numFmtId="186" fontId="6" fillId="0" borderId="0" xfId="4" applyNumberFormat="1" applyFont="1" applyBorder="1" applyAlignment="1">
      <alignment horizontal="left"/>
    </xf>
    <xf numFmtId="186" fontId="6" fillId="0" borderId="0" xfId="4" applyNumberFormat="1" applyFont="1" applyAlignment="1">
      <alignment horizontal="right"/>
    </xf>
    <xf numFmtId="186" fontId="6" fillId="0" borderId="0" xfId="4" applyNumberFormat="1" applyFont="1"/>
    <xf numFmtId="186" fontId="6" fillId="0" borderId="0" xfId="4" applyNumberFormat="1" applyFont="1" applyFill="1" applyAlignment="1">
      <alignment horizontal="right"/>
    </xf>
    <xf numFmtId="186" fontId="6" fillId="0" borderId="0" xfId="4" applyNumberFormat="1" applyFont="1" applyBorder="1"/>
    <xf numFmtId="186" fontId="14" fillId="0" borderId="0" xfId="4" applyNumberFormat="1" applyFont="1" applyAlignment="1">
      <alignment horizontal="left"/>
    </xf>
    <xf numFmtId="186" fontId="6" fillId="0" borderId="0" xfId="4" applyNumberFormat="1" applyFont="1" applyAlignment="1">
      <alignment horizontal="left"/>
    </xf>
    <xf numFmtId="186" fontId="6" fillId="0" borderId="60" xfId="4" applyNumberFormat="1" applyFont="1" applyBorder="1" applyAlignment="1">
      <alignment horizontal="left"/>
    </xf>
    <xf numFmtId="186" fontId="6" fillId="0" borderId="61" xfId="4" applyNumberFormat="1" applyFont="1" applyBorder="1" applyAlignment="1">
      <alignment horizontal="right"/>
    </xf>
    <xf numFmtId="186" fontId="6" fillId="0" borderId="61" xfId="4" applyNumberFormat="1" applyFont="1" applyBorder="1"/>
    <xf numFmtId="186" fontId="6" fillId="0" borderId="59" xfId="4" applyNumberFormat="1" applyFont="1" applyBorder="1" applyAlignment="1">
      <alignment horizontal="right"/>
    </xf>
    <xf numFmtId="186" fontId="6" fillId="0" borderId="61" xfId="4" applyNumberFormat="1" applyFont="1" applyFill="1" applyBorder="1" applyAlignment="1">
      <alignment horizontal="right"/>
    </xf>
    <xf numFmtId="186" fontId="6" fillId="0" borderId="59" xfId="4" applyNumberFormat="1" applyFont="1" applyFill="1" applyBorder="1" applyAlignment="1">
      <alignment horizontal="right"/>
    </xf>
    <xf numFmtId="186" fontId="6" fillId="0" borderId="13" xfId="4" applyNumberFormat="1" applyFont="1" applyBorder="1" applyAlignment="1">
      <alignment vertical="center"/>
    </xf>
    <xf numFmtId="186" fontId="14" fillId="0" borderId="0" xfId="4" applyNumberFormat="1" applyFont="1" applyBorder="1" applyAlignment="1">
      <alignment horizontal="center" vertical="center"/>
    </xf>
    <xf numFmtId="186" fontId="6" fillId="0" borderId="14" xfId="4" applyNumberFormat="1" applyFont="1" applyBorder="1" applyAlignment="1">
      <alignment horizontal="right" vertical="center"/>
    </xf>
    <xf numFmtId="186" fontId="6" fillId="0" borderId="14" xfId="4" applyNumberFormat="1" applyFont="1" applyFill="1" applyBorder="1" applyAlignment="1">
      <alignment horizontal="centerContinuous" vertical="center"/>
    </xf>
    <xf numFmtId="186" fontId="6" fillId="0" borderId="7" xfId="4" applyNumberFormat="1" applyFont="1" applyBorder="1" applyAlignment="1">
      <alignment horizontal="centerContinuous"/>
    </xf>
    <xf numFmtId="186" fontId="6" fillId="0" borderId="9" xfId="4" applyNumberFormat="1" applyFont="1" applyBorder="1" applyAlignment="1">
      <alignment horizontal="centerContinuous"/>
    </xf>
    <xf numFmtId="186" fontId="6" fillId="0" borderId="8" xfId="4" applyNumberFormat="1" applyFont="1" applyBorder="1" applyAlignment="1">
      <alignment horizontal="right"/>
    </xf>
    <xf numFmtId="186" fontId="6" fillId="0" borderId="9" xfId="4" applyNumberFormat="1" applyFont="1" applyFill="1" applyBorder="1" applyAlignment="1">
      <alignment horizontal="centerContinuous"/>
    </xf>
    <xf numFmtId="186" fontId="6" fillId="0" borderId="8" xfId="4" applyNumberFormat="1" applyFont="1" applyFill="1" applyBorder="1" applyAlignment="1">
      <alignment horizontal="centerContinuous"/>
    </xf>
    <xf numFmtId="186" fontId="6" fillId="0" borderId="13" xfId="4" applyNumberFormat="1" applyFont="1" applyBorder="1"/>
    <xf numFmtId="186" fontId="14" fillId="0" borderId="0" xfId="4" applyNumberFormat="1" applyFont="1" applyBorder="1" applyAlignment="1">
      <alignment horizontal="left"/>
    </xf>
    <xf numFmtId="186" fontId="6" fillId="0" borderId="14" xfId="4" quotePrefix="1" applyNumberFormat="1" applyFont="1" applyBorder="1" applyAlignment="1">
      <alignment horizontal="right"/>
    </xf>
    <xf numFmtId="213" fontId="6" fillId="0" borderId="14" xfId="4" applyNumberFormat="1" applyFont="1" applyFill="1" applyBorder="1" applyAlignment="1">
      <alignment horizontal="right"/>
    </xf>
    <xf numFmtId="186" fontId="6" fillId="0" borderId="14" xfId="4" applyNumberFormat="1" applyFont="1" applyFill="1" applyBorder="1" applyAlignment="1">
      <alignment horizontal="right"/>
    </xf>
    <xf numFmtId="186" fontId="6" fillId="0" borderId="13" xfId="4" applyNumberFormat="1" applyFont="1" applyBorder="1" applyAlignment="1">
      <alignment horizontal="right"/>
    </xf>
    <xf numFmtId="186" fontId="6" fillId="0" borderId="14" xfId="4" applyNumberFormat="1" applyFont="1" applyBorder="1" applyAlignment="1">
      <alignment horizontal="right"/>
    </xf>
    <xf numFmtId="242" fontId="6" fillId="0" borderId="14" xfId="4" applyNumberFormat="1" applyFont="1" applyFill="1" applyBorder="1" applyAlignment="1">
      <alignment horizontal="right"/>
    </xf>
    <xf numFmtId="186" fontId="14" fillId="0" borderId="13" xfId="4" applyNumberFormat="1" applyFont="1" applyBorder="1" applyAlignment="1">
      <alignment horizontal="right"/>
    </xf>
    <xf numFmtId="186" fontId="6" fillId="0" borderId="0" xfId="4" quotePrefix="1" applyNumberFormat="1" applyFont="1" applyBorder="1" applyAlignment="1">
      <alignment horizontal="left"/>
    </xf>
    <xf numFmtId="186" fontId="6" fillId="0" borderId="0" xfId="4" quotePrefix="1" applyNumberFormat="1" applyFont="1" applyBorder="1" applyAlignment="1">
      <alignment horizontal="right"/>
    </xf>
    <xf numFmtId="186" fontId="14" fillId="0" borderId="0" xfId="4" applyNumberFormat="1" applyFont="1" applyBorder="1"/>
    <xf numFmtId="186" fontId="6" fillId="0" borderId="0" xfId="4" applyNumberFormat="1" applyFont="1" applyBorder="1" applyAlignment="1">
      <alignment horizontal="right"/>
    </xf>
    <xf numFmtId="213" fontId="6" fillId="0" borderId="12" xfId="4" applyNumberFormat="1" applyFont="1" applyFill="1" applyBorder="1" applyAlignment="1">
      <alignment horizontal="right"/>
    </xf>
    <xf numFmtId="213" fontId="6" fillId="0" borderId="15" xfId="4" applyNumberFormat="1" applyFont="1" applyFill="1" applyBorder="1" applyAlignment="1">
      <alignment horizontal="right"/>
    </xf>
    <xf numFmtId="213" fontId="6" fillId="0" borderId="0" xfId="4" applyNumberFormat="1" applyFont="1" applyFill="1" applyBorder="1" applyAlignment="1">
      <alignment horizontal="right"/>
    </xf>
    <xf numFmtId="213" fontId="6" fillId="0" borderId="134" xfId="4" applyNumberFormat="1" applyFont="1" applyFill="1" applyBorder="1" applyAlignment="1">
      <alignment horizontal="right"/>
    </xf>
    <xf numFmtId="186" fontId="6" fillId="0" borderId="9" xfId="4" applyNumberFormat="1" applyFont="1" applyBorder="1" applyAlignment="1">
      <alignment horizontal="right"/>
    </xf>
    <xf numFmtId="213" fontId="6" fillId="0" borderId="9" xfId="4" applyNumberFormat="1" applyFont="1" applyFill="1" applyBorder="1" applyAlignment="1">
      <alignment horizontal="right"/>
    </xf>
    <xf numFmtId="186" fontId="14" fillId="0" borderId="0" xfId="4" applyNumberFormat="1" applyFont="1"/>
    <xf numFmtId="242" fontId="6" fillId="0" borderId="15" xfId="296" applyNumberFormat="1" applyFont="1" applyFill="1" applyBorder="1" applyAlignment="1">
      <alignment horizontal="right"/>
    </xf>
    <xf numFmtId="186" fontId="14" fillId="0" borderId="0" xfId="4" quotePrefix="1" applyNumberFormat="1" applyFont="1" applyBorder="1" applyAlignment="1">
      <alignment horizontal="right"/>
    </xf>
    <xf numFmtId="186" fontId="6" fillId="0" borderId="13" xfId="4" applyNumberFormat="1" applyFont="1" applyBorder="1" applyAlignment="1">
      <alignment horizontal="left"/>
    </xf>
    <xf numFmtId="186" fontId="6" fillId="0" borderId="7" xfId="4" applyNumberFormat="1" applyFont="1" applyBorder="1" applyAlignment="1">
      <alignment horizontal="right"/>
    </xf>
    <xf numFmtId="186" fontId="6" fillId="0" borderId="9" xfId="4" applyNumberFormat="1" applyFont="1" applyBorder="1" applyAlignment="1">
      <alignment horizontal="left"/>
    </xf>
    <xf numFmtId="186" fontId="6" fillId="0" borderId="9" xfId="4" applyNumberFormat="1" applyFont="1" applyBorder="1"/>
    <xf numFmtId="186" fontId="6" fillId="0" borderId="8" xfId="4" applyNumberFormat="1" applyFont="1" applyFill="1" applyBorder="1" applyAlignment="1">
      <alignment horizontal="right"/>
    </xf>
    <xf numFmtId="186" fontId="6" fillId="0" borderId="17" xfId="4" applyNumberFormat="1" applyFont="1" applyFill="1" applyBorder="1" applyAlignment="1">
      <alignment horizontal="right"/>
    </xf>
    <xf numFmtId="186" fontId="6" fillId="0" borderId="61" xfId="4" applyNumberFormat="1" applyFont="1" applyBorder="1" applyAlignment="1">
      <alignment horizontal="left"/>
    </xf>
    <xf numFmtId="186" fontId="14" fillId="0" borderId="0" xfId="4" applyNumberFormat="1" applyFont="1" applyBorder="1" applyAlignment="1">
      <alignment horizontal="centerContinuous"/>
    </xf>
    <xf numFmtId="186" fontId="6" fillId="0" borderId="0" xfId="4" applyNumberFormat="1" applyFont="1" applyBorder="1" applyAlignment="1">
      <alignment horizontal="centerContinuous"/>
    </xf>
    <xf numFmtId="186" fontId="160" fillId="0" borderId="0" xfId="4" quotePrefix="1" applyNumberFormat="1" applyFont="1" applyBorder="1" applyAlignment="1">
      <alignment horizontal="centerContinuous"/>
    </xf>
    <xf numFmtId="186" fontId="14" fillId="0" borderId="0" xfId="4" applyNumberFormat="1" applyFont="1" applyAlignment="1">
      <alignment horizontal="right"/>
    </xf>
    <xf numFmtId="213" fontId="6" fillId="0" borderId="14" xfId="4" quotePrefix="1" applyNumberFormat="1" applyFont="1" applyFill="1" applyBorder="1" applyAlignment="1">
      <alignment horizontal="right"/>
    </xf>
    <xf numFmtId="186" fontId="6" fillId="0" borderId="14" xfId="4" quotePrefix="1" applyNumberFormat="1" applyFont="1" applyFill="1" applyBorder="1" applyAlignment="1">
      <alignment horizontal="right"/>
    </xf>
    <xf numFmtId="187" fontId="6" fillId="0" borderId="14" xfId="4" applyNumberFormat="1" applyFont="1" applyFill="1" applyBorder="1" applyAlignment="1">
      <alignment horizontal="right"/>
    </xf>
    <xf numFmtId="213" fontId="6" fillId="0" borderId="15" xfId="4" quotePrefix="1" applyNumberFormat="1" applyFont="1" applyFill="1" applyBorder="1" applyAlignment="1">
      <alignment horizontal="right"/>
    </xf>
    <xf numFmtId="213" fontId="6" fillId="0" borderId="99" xfId="4" applyNumberFormat="1" applyFont="1" applyFill="1" applyBorder="1" applyAlignment="1">
      <alignment horizontal="right"/>
    </xf>
    <xf numFmtId="186" fontId="6" fillId="0" borderId="61" xfId="4" applyNumberFormat="1" applyFont="1" applyBorder="1" applyAlignment="1"/>
    <xf numFmtId="186" fontId="6" fillId="0" borderId="0" xfId="4" applyNumberFormat="1" applyFont="1" applyFill="1" applyBorder="1" applyAlignment="1">
      <alignment horizontal="centerContinuous"/>
    </xf>
    <xf numFmtId="186" fontId="14" fillId="0" borderId="0" xfId="4" applyNumberFormat="1" applyFont="1" applyFill="1" applyAlignment="1">
      <alignment horizontal="centerContinuous"/>
    </xf>
    <xf numFmtId="186" fontId="6" fillId="0" borderId="0" xfId="4" applyNumberFormat="1" applyFont="1" applyFill="1" applyBorder="1" applyAlignment="1">
      <alignment horizontal="left"/>
    </xf>
    <xf numFmtId="186" fontId="6" fillId="0" borderId="15" xfId="4" applyNumberFormat="1" applyFont="1" applyFill="1" applyBorder="1" applyAlignment="1">
      <alignment horizontal="right"/>
    </xf>
    <xf numFmtId="213" fontId="6" fillId="0" borderId="135" xfId="4" applyNumberFormat="1" applyFont="1" applyFill="1" applyBorder="1" applyAlignment="1">
      <alignment horizontal="right"/>
    </xf>
    <xf numFmtId="186" fontId="6" fillId="0" borderId="7" xfId="4" applyNumberFormat="1" applyFont="1" applyBorder="1" applyAlignment="1">
      <alignment horizontal="left"/>
    </xf>
    <xf numFmtId="186" fontId="6" fillId="0" borderId="8" xfId="4" quotePrefix="1" applyNumberFormat="1" applyFont="1" applyBorder="1" applyAlignment="1">
      <alignment horizontal="right"/>
    </xf>
    <xf numFmtId="186" fontId="6" fillId="0" borderId="0" xfId="4" applyNumberFormat="1" applyFont="1" applyFill="1" applyBorder="1" applyAlignment="1">
      <alignment horizontal="right"/>
    </xf>
    <xf numFmtId="186" fontId="6" fillId="0" borderId="0" xfId="4" quotePrefix="1" applyNumberFormat="1" applyFont="1" applyBorder="1" applyAlignment="1">
      <alignment horizontal="centerContinuous"/>
    </xf>
    <xf numFmtId="186" fontId="6" fillId="0" borderId="0" xfId="4" applyNumberFormat="1" applyFont="1" applyBorder="1" applyAlignment="1">
      <alignment horizontal="center"/>
    </xf>
    <xf numFmtId="186" fontId="12" fillId="0" borderId="0" xfId="4" applyNumberFormat="1" applyFont="1" applyBorder="1" applyAlignment="1">
      <alignment horizontal="centerContinuous" vertical="center"/>
    </xf>
    <xf numFmtId="186" fontId="16" fillId="0" borderId="0" xfId="4" applyNumberFormat="1" applyFont="1" applyAlignment="1">
      <alignment horizontal="centerContinuous"/>
    </xf>
    <xf numFmtId="186" fontId="16" fillId="0" borderId="0" xfId="4" applyNumberFormat="1" applyFont="1" applyBorder="1" applyAlignment="1">
      <alignment horizontal="centerContinuous"/>
    </xf>
    <xf numFmtId="186" fontId="16" fillId="0" borderId="0" xfId="4" applyNumberFormat="1" applyFont="1" applyFill="1" applyAlignment="1">
      <alignment horizontal="centerContinuous"/>
    </xf>
    <xf numFmtId="186" fontId="16" fillId="0" borderId="0" xfId="4" applyNumberFormat="1" applyFont="1" applyBorder="1" applyAlignment="1"/>
    <xf numFmtId="186" fontId="16" fillId="0" borderId="0" xfId="4" applyNumberFormat="1" applyFont="1" applyBorder="1" applyAlignment="1">
      <alignment horizontal="left"/>
    </xf>
    <xf numFmtId="186" fontId="13" fillId="0" borderId="0" xfId="4" applyNumberFormat="1" applyFont="1" applyBorder="1" applyAlignment="1"/>
    <xf numFmtId="186" fontId="6" fillId="0" borderId="0" xfId="4" applyNumberFormat="1" applyFont="1" applyBorder="1" applyAlignment="1"/>
    <xf numFmtId="213" fontId="6" fillId="0" borderId="132" xfId="4" applyNumberFormat="1" applyFont="1" applyFill="1" applyBorder="1" applyAlignment="1">
      <alignment horizontal="right"/>
    </xf>
    <xf numFmtId="213" fontId="6" fillId="0" borderId="7" xfId="4" applyNumberFormat="1" applyFont="1" applyFill="1" applyBorder="1" applyAlignment="1">
      <alignment horizontal="right"/>
    </xf>
    <xf numFmtId="213" fontId="6" fillId="0" borderId="58" xfId="4" applyNumberFormat="1" applyFont="1" applyFill="1" applyBorder="1" applyAlignment="1">
      <alignment horizontal="right"/>
    </xf>
    <xf numFmtId="242" fontId="6" fillId="0" borderId="15" xfId="4" applyNumberFormat="1" applyFont="1" applyFill="1" applyBorder="1" applyAlignment="1">
      <alignment horizontal="right"/>
    </xf>
    <xf numFmtId="186" fontId="6" fillId="0" borderId="0" xfId="4" quotePrefix="1" applyNumberFormat="1" applyFont="1" applyAlignment="1">
      <alignment horizontal="right"/>
    </xf>
    <xf numFmtId="213" fontId="6" fillId="0" borderId="14" xfId="4" applyNumberFormat="1" applyFont="1" applyFill="1" applyBorder="1"/>
    <xf numFmtId="242" fontId="6" fillId="0" borderId="14" xfId="4" applyNumberFormat="1" applyFont="1" applyFill="1" applyBorder="1"/>
    <xf numFmtId="186" fontId="14" fillId="0" borderId="9" xfId="4" applyNumberFormat="1" applyFont="1" applyBorder="1" applyAlignment="1">
      <alignment horizontal="left"/>
    </xf>
    <xf numFmtId="186" fontId="14" fillId="0" borderId="0" xfId="4" quotePrefix="1" applyNumberFormat="1" applyFont="1" applyAlignment="1">
      <alignment horizontal="right"/>
    </xf>
    <xf numFmtId="213" fontId="6" fillId="0" borderId="14" xfId="4" applyNumberFormat="1" applyFont="1" applyFill="1" applyBorder="1" applyAlignment="1">
      <alignment horizontal="left"/>
    </xf>
    <xf numFmtId="213" fontId="6" fillId="0" borderId="8" xfId="4" applyNumberFormat="1" applyFont="1" applyFill="1" applyBorder="1" applyAlignment="1">
      <alignment horizontal="right"/>
    </xf>
    <xf numFmtId="186" fontId="12" fillId="0" borderId="0" xfId="4" applyNumberFormat="1" applyFont="1" applyBorder="1" applyAlignment="1">
      <alignment horizontal="centerContinuous"/>
    </xf>
    <xf numFmtId="188" fontId="6" fillId="0" borderId="15" xfId="4" applyNumberFormat="1" applyFont="1" applyFill="1" applyBorder="1" applyAlignment="1">
      <alignment horizontal="right"/>
    </xf>
    <xf numFmtId="186" fontId="6" fillId="0" borderId="12" xfId="4" quotePrefix="1" applyNumberFormat="1" applyFont="1" applyFill="1" applyBorder="1" applyAlignment="1">
      <alignment horizontal="right"/>
    </xf>
    <xf numFmtId="186" fontId="6" fillId="0" borderId="15" xfId="4" quotePrefix="1" applyNumberFormat="1" applyFont="1" applyFill="1" applyBorder="1" applyAlignment="1">
      <alignment horizontal="right"/>
    </xf>
    <xf numFmtId="188" fontId="6" fillId="0" borderId="12" xfId="4" applyNumberFormat="1" applyFont="1" applyFill="1" applyBorder="1" applyAlignment="1">
      <alignment horizontal="right"/>
    </xf>
    <xf numFmtId="188" fontId="6" fillId="0" borderId="14" xfId="4" applyNumberFormat="1" applyFont="1" applyFill="1" applyBorder="1" applyAlignment="1">
      <alignment horizontal="right"/>
    </xf>
    <xf numFmtId="243" fontId="6" fillId="0" borderId="14" xfId="4" applyNumberFormat="1" applyFont="1" applyFill="1" applyBorder="1" applyAlignment="1">
      <alignment horizontal="right"/>
    </xf>
    <xf numFmtId="186" fontId="6" fillId="0" borderId="99" xfId="4" applyNumberFormat="1" applyFont="1" applyFill="1" applyBorder="1" applyAlignment="1">
      <alignment horizontal="right"/>
    </xf>
    <xf numFmtId="186" fontId="6" fillId="0" borderId="0" xfId="4" applyNumberFormat="1" applyFont="1" applyFill="1" applyBorder="1"/>
    <xf numFmtId="0" fontId="6" fillId="0" borderId="0" xfId="4" applyFont="1"/>
    <xf numFmtId="186" fontId="13" fillId="0" borderId="0" xfId="4" applyNumberFormat="1" applyFont="1" applyAlignment="1">
      <alignment horizontal="right"/>
    </xf>
    <xf numFmtId="186" fontId="13" fillId="0" borderId="0" xfId="4" applyNumberFormat="1" applyFont="1"/>
    <xf numFmtId="186" fontId="13" fillId="0" borderId="0" xfId="4" applyNumberFormat="1" applyFont="1" applyFill="1" applyAlignment="1">
      <alignment horizontal="right"/>
    </xf>
    <xf numFmtId="186" fontId="13" fillId="0" borderId="0" xfId="4" applyNumberFormat="1" applyFont="1" applyBorder="1"/>
    <xf numFmtId="186" fontId="13" fillId="0" borderId="0" xfId="4" applyNumberFormat="1" applyFont="1" applyFill="1"/>
    <xf numFmtId="186" fontId="6" fillId="0" borderId="60" xfId="4" applyNumberFormat="1" applyFont="1" applyBorder="1" applyAlignment="1">
      <alignment horizontal="right"/>
    </xf>
    <xf numFmtId="186" fontId="6" fillId="0" borderId="58" xfId="4" applyNumberFormat="1" applyFont="1" applyBorder="1" applyAlignment="1">
      <alignment horizontal="right"/>
    </xf>
    <xf numFmtId="186" fontId="6" fillId="0" borderId="12" xfId="4" applyNumberFormat="1" applyFont="1" applyBorder="1" applyAlignment="1">
      <alignment horizontal="centerContinuous"/>
    </xf>
    <xf numFmtId="186" fontId="14" fillId="0" borderId="0" xfId="4" applyNumberFormat="1" applyFont="1" applyBorder="1" applyAlignment="1"/>
    <xf numFmtId="213" fontId="6" fillId="0" borderId="15" xfId="4" applyNumberFormat="1" applyFont="1" applyBorder="1" applyAlignment="1">
      <alignment horizontal="right"/>
    </xf>
    <xf numFmtId="213" fontId="6" fillId="0" borderId="132" xfId="4" applyNumberFormat="1" applyFont="1" applyBorder="1" applyAlignment="1">
      <alignment horizontal="right"/>
    </xf>
    <xf numFmtId="186" fontId="6" fillId="0" borderId="9" xfId="4" applyNumberFormat="1" applyFont="1" applyBorder="1" applyAlignment="1"/>
    <xf numFmtId="186" fontId="6" fillId="0" borderId="12" xfId="4" applyNumberFormat="1" applyFont="1" applyBorder="1" applyAlignment="1">
      <alignment horizontal="right"/>
    </xf>
    <xf numFmtId="188" fontId="6" fillId="0" borderId="8" xfId="4" applyNumberFormat="1" applyFont="1" applyBorder="1" applyAlignment="1">
      <alignment horizontal="right"/>
    </xf>
    <xf numFmtId="188" fontId="6" fillId="0" borderId="0" xfId="4" applyNumberFormat="1" applyFont="1" applyBorder="1" applyAlignment="1">
      <alignment horizontal="right"/>
    </xf>
    <xf numFmtId="188" fontId="6" fillId="0" borderId="0" xfId="4" applyNumberFormat="1" applyFont="1" applyBorder="1" applyAlignment="1">
      <alignment horizontal="centerContinuous"/>
    </xf>
    <xf numFmtId="186" fontId="6" fillId="0" borderId="58" xfId="4" applyNumberFormat="1" applyFont="1" applyFill="1" applyBorder="1" applyAlignment="1">
      <alignment horizontal="right"/>
    </xf>
    <xf numFmtId="186" fontId="14" fillId="0" borderId="0" xfId="4" applyNumberFormat="1" applyFont="1" applyFill="1" applyBorder="1" applyAlignment="1">
      <alignment horizontal="center" vertical="center"/>
    </xf>
    <xf numFmtId="186" fontId="14" fillId="0" borderId="15" xfId="4" applyNumberFormat="1" applyFont="1" applyFill="1" applyBorder="1" applyAlignment="1">
      <alignment horizontal="centerContinuous" vertical="center"/>
    </xf>
    <xf numFmtId="186" fontId="6" fillId="0" borderId="12" xfId="4" applyNumberFormat="1" applyFont="1" applyFill="1" applyBorder="1" applyAlignment="1">
      <alignment horizontal="centerContinuous"/>
    </xf>
    <xf numFmtId="190" fontId="6" fillId="0" borderId="14" xfId="4" applyNumberFormat="1" applyFont="1" applyFill="1" applyBorder="1" applyAlignment="1">
      <alignment horizontal="right"/>
    </xf>
    <xf numFmtId="190" fontId="6" fillId="0" borderId="14" xfId="4" quotePrefix="1" applyNumberFormat="1" applyFont="1" applyFill="1" applyBorder="1" applyAlignment="1">
      <alignment horizontal="right"/>
    </xf>
    <xf numFmtId="190" fontId="6" fillId="0" borderId="99" xfId="4" applyNumberFormat="1" applyFont="1" applyFill="1" applyBorder="1" applyAlignment="1">
      <alignment horizontal="right"/>
    </xf>
    <xf numFmtId="0" fontId="53" fillId="0" borderId="0" xfId="187">
      <alignment vertical="center"/>
    </xf>
    <xf numFmtId="0" fontId="23" fillId="0" borderId="0" xfId="388" applyFont="1"/>
    <xf numFmtId="0" fontId="163" fillId="0" borderId="0" xfId="388" applyFont="1"/>
    <xf numFmtId="0" fontId="23" fillId="0" borderId="0" xfId="388" applyFont="1" applyFill="1"/>
    <xf numFmtId="0" fontId="163" fillId="0" borderId="0" xfId="388" applyFont="1" applyAlignment="1">
      <alignment horizontal="right"/>
    </xf>
    <xf numFmtId="0" fontId="23" fillId="0" borderId="132" xfId="388" applyFont="1" applyFill="1" applyBorder="1" applyAlignment="1">
      <alignment horizontal="centerContinuous" vertical="center"/>
    </xf>
    <xf numFmtId="0" fontId="163" fillId="0" borderId="132" xfId="388" applyFont="1" applyBorder="1" applyAlignment="1">
      <alignment horizontal="center" vertical="center"/>
    </xf>
    <xf numFmtId="3" fontId="163" fillId="0" borderId="12" xfId="389" applyNumberFormat="1" applyFill="1" applyBorder="1" applyAlignment="1">
      <alignment horizontal="distributed" vertical="center"/>
    </xf>
    <xf numFmtId="3" fontId="23" fillId="0" borderId="12" xfId="187" applyNumberFormat="1" applyFont="1" applyFill="1" applyBorder="1" applyAlignment="1">
      <alignment horizontal="right" vertical="center" wrapText="1"/>
    </xf>
    <xf numFmtId="0" fontId="166" fillId="0" borderId="14" xfId="388" applyFont="1" applyBorder="1" applyAlignment="1">
      <alignment horizontal="left" vertical="center"/>
    </xf>
    <xf numFmtId="0" fontId="23" fillId="0" borderId="13" xfId="388" applyFont="1" applyBorder="1" applyAlignment="1">
      <alignment horizontal="center" vertical="center"/>
    </xf>
    <xf numFmtId="0" fontId="163" fillId="0" borderId="0" xfId="388" applyFont="1" applyBorder="1" applyAlignment="1">
      <alignment horizontal="center" vertical="center"/>
    </xf>
    <xf numFmtId="0" fontId="166" fillId="0" borderId="14" xfId="388" applyFont="1" applyBorder="1" applyAlignment="1">
      <alignment horizontal="center" vertical="center"/>
    </xf>
    <xf numFmtId="0" fontId="23" fillId="0" borderId="55" xfId="388" applyFont="1" applyBorder="1" applyAlignment="1">
      <alignment horizontal="centerContinuous" vertical="center"/>
    </xf>
    <xf numFmtId="0" fontId="163" fillId="0" borderId="107" xfId="388" applyFont="1" applyBorder="1" applyAlignment="1">
      <alignment horizontal="centerContinuous" vertical="center"/>
    </xf>
    <xf numFmtId="0" fontId="163" fillId="0" borderId="132" xfId="388" applyFont="1" applyBorder="1" applyAlignment="1">
      <alignment horizontal="centerContinuous" vertical="center"/>
    </xf>
    <xf numFmtId="3" fontId="23" fillId="0" borderId="132" xfId="187" applyNumberFormat="1" applyFont="1" applyFill="1" applyBorder="1" applyAlignment="1">
      <alignment horizontal="right" vertical="center" wrapText="1"/>
    </xf>
    <xf numFmtId="3" fontId="167" fillId="0" borderId="132" xfId="187" applyNumberFormat="1" applyFont="1" applyFill="1" applyBorder="1" applyAlignment="1">
      <alignment horizontal="center" vertical="center" wrapText="1"/>
    </xf>
    <xf numFmtId="235" fontId="136" fillId="0" borderId="102" xfId="390" applyNumberFormat="1" applyFont="1" applyBorder="1" applyAlignment="1" applyProtection="1">
      <alignment horizontal="right" vertical="center" wrapText="1"/>
    </xf>
    <xf numFmtId="0" fontId="23" fillId="0" borderId="0" xfId="388" applyFont="1" applyBorder="1" applyAlignment="1">
      <alignment horizontal="centerContinuous" vertical="center"/>
    </xf>
    <xf numFmtId="0" fontId="163" fillId="0" borderId="0" xfId="388" applyFont="1" applyBorder="1" applyAlignment="1">
      <alignment horizontal="centerContinuous" vertical="center"/>
    </xf>
    <xf numFmtId="3" fontId="23" fillId="0" borderId="0" xfId="187" applyNumberFormat="1" applyFont="1" applyFill="1" applyBorder="1" applyAlignment="1">
      <alignment horizontal="right" vertical="center" wrapText="1"/>
    </xf>
    <xf numFmtId="3" fontId="167" fillId="0" borderId="0" xfId="187" applyNumberFormat="1" applyFont="1" applyFill="1" applyBorder="1" applyAlignment="1">
      <alignment horizontal="center" vertical="center" wrapText="1"/>
    </xf>
    <xf numFmtId="3" fontId="53" fillId="0" borderId="0" xfId="187" applyNumberFormat="1">
      <alignment vertical="center"/>
    </xf>
    <xf numFmtId="0" fontId="169" fillId="0" borderId="132" xfId="390" applyFont="1" applyFill="1" applyBorder="1" applyAlignment="1" applyProtection="1">
      <alignment vertical="center"/>
    </xf>
    <xf numFmtId="0" fontId="163" fillId="0" borderId="13" xfId="388" applyFont="1" applyBorder="1" applyAlignment="1">
      <alignment horizontal="center" vertical="center"/>
    </xf>
    <xf numFmtId="0" fontId="169" fillId="0" borderId="132" xfId="390" applyFont="1" applyFill="1" applyBorder="1" applyAlignment="1" applyProtection="1">
      <alignment horizontal="left" vertical="center"/>
    </xf>
    <xf numFmtId="41" fontId="53" fillId="0" borderId="0" xfId="187" applyNumberFormat="1">
      <alignment vertical="center"/>
    </xf>
    <xf numFmtId="0" fontId="166" fillId="0" borderId="14" xfId="187" applyFont="1" applyBorder="1" applyAlignment="1">
      <alignment horizontal="left" vertical="center"/>
    </xf>
    <xf numFmtId="0" fontId="169" fillId="0" borderId="58" xfId="390" applyFont="1" applyFill="1" applyBorder="1" applyAlignment="1" applyProtection="1">
      <alignment horizontal="left" vertical="center"/>
    </xf>
    <xf numFmtId="0" fontId="23" fillId="0" borderId="13" xfId="388" applyFont="1" applyBorder="1" applyAlignment="1">
      <alignment horizontal="centerContinuous" vertical="center"/>
    </xf>
    <xf numFmtId="3" fontId="167" fillId="0" borderId="14" xfId="187" applyNumberFormat="1" applyFont="1" applyFill="1" applyBorder="1" applyAlignment="1">
      <alignment horizontal="center" vertical="center" wrapText="1"/>
    </xf>
    <xf numFmtId="0" fontId="53" fillId="0" borderId="13" xfId="187" applyBorder="1">
      <alignment vertical="center"/>
    </xf>
    <xf numFmtId="0" fontId="53" fillId="0" borderId="0" xfId="187" applyBorder="1">
      <alignment vertical="center"/>
    </xf>
    <xf numFmtId="0" fontId="53" fillId="0" borderId="14" xfId="187" applyBorder="1">
      <alignment vertical="center"/>
    </xf>
    <xf numFmtId="0" fontId="28" fillId="0" borderId="95" xfId="0" applyFont="1" applyBorder="1" applyAlignment="1">
      <alignment horizontal="center" vertical="center"/>
    </xf>
    <xf numFmtId="0" fontId="28" fillId="0" borderId="96" xfId="0" applyFont="1" applyBorder="1" applyAlignment="1">
      <alignment horizontal="center" vertical="center"/>
    </xf>
    <xf numFmtId="176" fontId="30" fillId="2" borderId="1" xfId="4" applyNumberFormat="1" applyFont="1" applyFill="1" applyBorder="1" applyAlignment="1">
      <alignment horizontal="center" vertical="center"/>
    </xf>
    <xf numFmtId="176" fontId="30" fillId="2" borderId="3" xfId="4" applyNumberFormat="1" applyFont="1" applyFill="1" applyBorder="1" applyAlignment="1">
      <alignment horizontal="center" vertical="center"/>
    </xf>
    <xf numFmtId="176" fontId="30" fillId="2" borderId="4" xfId="4" applyNumberFormat="1" applyFont="1" applyFill="1" applyBorder="1" applyAlignment="1">
      <alignment horizontal="center" vertical="center"/>
    </xf>
    <xf numFmtId="176" fontId="33" fillId="2" borderId="5" xfId="4" applyNumberFormat="1" applyFont="1" applyFill="1" applyBorder="1" applyAlignment="1">
      <alignment horizontal="center" vertical="center"/>
    </xf>
    <xf numFmtId="176" fontId="33" fillId="2" borderId="6" xfId="4" applyNumberFormat="1" applyFont="1" applyFill="1" applyBorder="1" applyAlignment="1">
      <alignment horizontal="center" vertical="center"/>
    </xf>
    <xf numFmtId="176" fontId="33" fillId="2" borderId="7" xfId="4" applyNumberFormat="1" applyFont="1" applyFill="1" applyBorder="1" applyAlignment="1">
      <alignment horizontal="center" vertical="center"/>
    </xf>
    <xf numFmtId="176" fontId="33" fillId="2" borderId="8" xfId="4" applyNumberFormat="1" applyFont="1" applyFill="1" applyBorder="1" applyAlignment="1">
      <alignment horizontal="center" vertical="center"/>
    </xf>
    <xf numFmtId="14" fontId="28" fillId="2" borderId="4" xfId="4" quotePrefix="1" applyNumberFormat="1" applyFont="1" applyFill="1" applyBorder="1" applyAlignment="1">
      <alignment horizontal="center" vertical="center"/>
    </xf>
    <xf numFmtId="176" fontId="28" fillId="2" borderId="5" xfId="4" applyNumberFormat="1" applyFont="1" applyFill="1" applyBorder="1" applyAlignment="1">
      <alignment horizontal="center" vertical="center"/>
    </xf>
    <xf numFmtId="176" fontId="28" fillId="2" borderId="6" xfId="4" applyNumberFormat="1" applyFont="1" applyFill="1" applyBorder="1" applyAlignment="1">
      <alignment horizontal="center" vertical="center"/>
    </xf>
    <xf numFmtId="176" fontId="28" fillId="2" borderId="7" xfId="4" applyNumberFormat="1" applyFont="1" applyFill="1" applyBorder="1" applyAlignment="1">
      <alignment horizontal="center" vertical="center"/>
    </xf>
    <xf numFmtId="176" fontId="28" fillId="2" borderId="8" xfId="4" applyNumberFormat="1" applyFont="1" applyFill="1" applyBorder="1" applyAlignment="1">
      <alignment horizontal="center" vertical="center"/>
    </xf>
    <xf numFmtId="0" fontId="130" fillId="0" borderId="52" xfId="188" applyFont="1" applyFill="1" applyBorder="1" applyAlignment="1">
      <alignment horizontal="center" vertical="center"/>
    </xf>
    <xf numFmtId="0" fontId="130" fillId="0" borderId="54" xfId="188" applyFont="1" applyFill="1" applyBorder="1" applyAlignment="1">
      <alignment horizontal="center" vertical="center"/>
    </xf>
    <xf numFmtId="41" fontId="130" fillId="0" borderId="52" xfId="135" applyFont="1" applyFill="1" applyBorder="1" applyAlignment="1">
      <alignment horizontal="center" vertical="center"/>
    </xf>
    <xf numFmtId="0" fontId="128" fillId="0" borderId="0" xfId="188" applyFont="1" applyFill="1" applyAlignment="1">
      <alignment horizontal="center" vertical="center"/>
    </xf>
    <xf numFmtId="3" fontId="130" fillId="0" borderId="0" xfId="188" applyNumberFormat="1" applyFont="1" applyFill="1" applyAlignment="1">
      <alignment horizontal="center" vertical="center"/>
    </xf>
    <xf numFmtId="0" fontId="130" fillId="0" borderId="0" xfId="188" applyFont="1" applyFill="1" applyAlignment="1">
      <alignment horizontal="center" vertical="center"/>
    </xf>
    <xf numFmtId="0" fontId="130" fillId="0" borderId="72" xfId="188" applyFont="1" applyFill="1" applyBorder="1" applyAlignment="1">
      <alignment horizontal="center" vertical="center"/>
    </xf>
    <xf numFmtId="0" fontId="130" fillId="0" borderId="76" xfId="188" applyFont="1" applyFill="1" applyBorder="1" applyAlignment="1">
      <alignment horizontal="center" vertical="center"/>
    </xf>
    <xf numFmtId="227" fontId="130" fillId="0" borderId="73" xfId="188" applyNumberFormat="1" applyFont="1" applyFill="1" applyBorder="1" applyAlignment="1">
      <alignment horizontal="center" vertical="center"/>
    </xf>
    <xf numFmtId="227" fontId="130" fillId="0" borderId="74" xfId="188" applyNumberFormat="1" applyFont="1" applyFill="1" applyBorder="1" applyAlignment="1">
      <alignment horizontal="center" vertical="center"/>
    </xf>
    <xf numFmtId="227" fontId="130" fillId="0" borderId="75" xfId="188" applyNumberFormat="1" applyFont="1" applyFill="1" applyBorder="1" applyAlignment="1">
      <alignment horizontal="center" vertical="center"/>
    </xf>
    <xf numFmtId="0" fontId="130" fillId="0" borderId="77" xfId="188" applyFont="1" applyFill="1" applyBorder="1" applyAlignment="1">
      <alignment horizontal="center" vertical="center"/>
    </xf>
    <xf numFmtId="0" fontId="130" fillId="0" borderId="36" xfId="188" applyFont="1" applyFill="1" applyBorder="1" applyAlignment="1">
      <alignment horizontal="center" vertical="center"/>
    </xf>
    <xf numFmtId="0" fontId="130" fillId="0" borderId="78" xfId="188" applyFont="1" applyFill="1" applyBorder="1" applyAlignment="1">
      <alignment horizontal="center" vertical="center"/>
    </xf>
    <xf numFmtId="0" fontId="130" fillId="0" borderId="79" xfId="188" applyFont="1" applyFill="1" applyBorder="1" applyAlignment="1">
      <alignment horizontal="center" vertical="center"/>
    </xf>
    <xf numFmtId="3" fontId="127" fillId="0" borderId="86" xfId="188" applyNumberFormat="1" applyFont="1" applyBorder="1" applyAlignment="1">
      <alignment horizontal="center" vertical="center" wrapText="1"/>
    </xf>
    <xf numFmtId="0" fontId="127" fillId="0" borderId="87" xfId="188" applyFont="1" applyBorder="1" applyAlignment="1">
      <alignment horizontal="center" vertical="center" wrapText="1"/>
    </xf>
    <xf numFmtId="0" fontId="127" fillId="0" borderId="88" xfId="188" applyFont="1" applyBorder="1" applyAlignment="1">
      <alignment horizontal="center" vertical="center" wrapText="1"/>
    </xf>
    <xf numFmtId="189" fontId="30" fillId="0" borderId="26" xfId="7" applyNumberFormat="1" applyFont="1" applyBorder="1" applyAlignment="1">
      <alignment horizontal="center"/>
    </xf>
    <xf numFmtId="189" fontId="30" fillId="0" borderId="27" xfId="7" applyNumberFormat="1" applyFont="1" applyBorder="1" applyAlignment="1">
      <alignment horizontal="center"/>
    </xf>
    <xf numFmtId="189" fontId="30" fillId="0" borderId="28" xfId="7" applyNumberFormat="1" applyFont="1" applyBorder="1" applyAlignment="1">
      <alignment horizontal="center"/>
    </xf>
    <xf numFmtId="189" fontId="30" fillId="0" borderId="29" xfId="7" applyNumberFormat="1" applyFont="1" applyBorder="1" applyAlignment="1">
      <alignment horizontal="center"/>
    </xf>
    <xf numFmtId="189" fontId="30" fillId="0" borderId="30" xfId="7" applyNumberFormat="1" applyFont="1" applyBorder="1" applyAlignment="1">
      <alignment horizontal="center"/>
    </xf>
    <xf numFmtId="189" fontId="33" fillId="2" borderId="16" xfId="7" applyNumberFormat="1" applyFont="1" applyFill="1" applyBorder="1" applyAlignment="1">
      <alignment horizontal="center" vertical="center"/>
    </xf>
    <xf numFmtId="189" fontId="33" fillId="2" borderId="12" xfId="7" applyNumberFormat="1" applyFont="1" applyFill="1" applyBorder="1" applyAlignment="1">
      <alignment horizontal="center" vertical="center"/>
    </xf>
    <xf numFmtId="14" fontId="28" fillId="2" borderId="16" xfId="8" quotePrefix="1" applyNumberFormat="1" applyFont="1" applyFill="1" applyBorder="1" applyAlignment="1">
      <alignment horizontal="center" vertical="center"/>
    </xf>
    <xf numFmtId="14" fontId="28" fillId="2" borderId="12" xfId="8" quotePrefix="1" applyNumberFormat="1" applyFont="1" applyFill="1" applyBorder="1" applyAlignment="1">
      <alignment horizontal="center" vertical="center"/>
    </xf>
    <xf numFmtId="189" fontId="28" fillId="2" borderId="16" xfId="7" quotePrefix="1" applyNumberFormat="1" applyFont="1" applyFill="1" applyBorder="1" applyAlignment="1">
      <alignment horizontal="center" vertical="center"/>
    </xf>
    <xf numFmtId="189" fontId="28" fillId="2" borderId="12" xfId="7" quotePrefix="1" applyNumberFormat="1" applyFont="1" applyFill="1" applyBorder="1" applyAlignment="1">
      <alignment horizontal="center" vertical="center"/>
    </xf>
    <xf numFmtId="41" fontId="30" fillId="30" borderId="84" xfId="1" applyFont="1" applyFill="1" applyBorder="1" applyAlignment="1">
      <alignment horizontal="center"/>
    </xf>
    <xf numFmtId="186" fontId="14" fillId="0" borderId="13" xfId="4" applyNumberFormat="1" applyFont="1" applyBorder="1" applyAlignment="1">
      <alignment horizontal="center" vertical="center"/>
    </xf>
    <xf numFmtId="186" fontId="14" fillId="0" borderId="0" xfId="4" applyNumberFormat="1" applyFont="1" applyBorder="1" applyAlignment="1">
      <alignment horizontal="center" vertical="center"/>
    </xf>
    <xf numFmtId="186" fontId="14" fillId="0" borderId="14" xfId="4" applyNumberFormat="1" applyFont="1" applyBorder="1" applyAlignment="1">
      <alignment horizontal="center" vertical="center"/>
    </xf>
    <xf numFmtId="186" fontId="14" fillId="0" borderId="15" xfId="4" applyNumberFormat="1" applyFont="1" applyBorder="1" applyAlignment="1">
      <alignment horizontal="center" vertical="center"/>
    </xf>
    <xf numFmtId="0" fontId="162" fillId="0" borderId="0" xfId="388" applyFont="1" applyAlignment="1">
      <alignment horizontal="center" vertical="center"/>
    </xf>
    <xf numFmtId="0" fontId="163" fillId="0" borderId="13" xfId="388" applyFont="1" applyBorder="1" applyAlignment="1">
      <alignment horizontal="center" vertical="center"/>
    </xf>
    <xf numFmtId="0" fontId="163" fillId="0" borderId="0" xfId="388" applyFont="1" applyBorder="1" applyAlignment="1">
      <alignment horizontal="center" vertical="center"/>
    </xf>
    <xf numFmtId="0" fontId="163" fillId="0" borderId="55" xfId="388" applyFont="1" applyBorder="1" applyAlignment="1">
      <alignment horizontal="center" vertical="center"/>
    </xf>
    <xf numFmtId="0" fontId="163" fillId="0" borderId="106" xfId="388" applyFont="1" applyBorder="1" applyAlignment="1">
      <alignment horizontal="center" vertical="center"/>
    </xf>
    <xf numFmtId="0" fontId="163" fillId="0" borderId="107" xfId="388" applyFont="1" applyBorder="1" applyAlignment="1">
      <alignment horizontal="center" vertical="center"/>
    </xf>
    <xf numFmtId="0" fontId="163" fillId="0" borderId="13" xfId="388" applyFont="1" applyFill="1" applyBorder="1" applyAlignment="1">
      <alignment horizontal="center" vertical="center"/>
    </xf>
    <xf numFmtId="0" fontId="163" fillId="0" borderId="0" xfId="388" applyFont="1" applyFill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49" fontId="135" fillId="26" borderId="97" xfId="0" applyNumberFormat="1" applyFont="1" applyFill="1" applyBorder="1" applyAlignment="1" applyProtection="1">
      <alignment horizontal="center" vertical="center"/>
    </xf>
    <xf numFmtId="176" fontId="30" fillId="2" borderId="52" xfId="4" applyNumberFormat="1" applyFont="1" applyFill="1" applyBorder="1" applyAlignment="1">
      <alignment horizontal="center" vertical="center"/>
    </xf>
    <xf numFmtId="0" fontId="33" fillId="2" borderId="52" xfId="4" applyNumberFormat="1" applyFont="1" applyFill="1" applyBorder="1" applyAlignment="1">
      <alignment horizontal="center" vertical="center"/>
    </xf>
    <xf numFmtId="176" fontId="28" fillId="2" borderId="52" xfId="4" applyNumberFormat="1" applyFont="1" applyFill="1" applyBorder="1" applyAlignment="1">
      <alignment horizontal="center" vertical="center"/>
    </xf>
    <xf numFmtId="14" fontId="28" fillId="2" borderId="52" xfId="4" quotePrefix="1" applyNumberFormat="1" applyFont="1" applyFill="1" applyBorder="1" applyAlignment="1">
      <alignment horizontal="center" vertical="center"/>
    </xf>
    <xf numFmtId="216" fontId="30" fillId="2" borderId="55" xfId="4" applyNumberFormat="1" applyFont="1" applyFill="1" applyBorder="1" applyAlignment="1">
      <alignment horizontal="center" vertical="center"/>
    </xf>
    <xf numFmtId="216" fontId="30" fillId="2" borderId="54" xfId="4" applyNumberFormat="1" applyFont="1" applyFill="1" applyBorder="1" applyAlignment="1">
      <alignment horizontal="center" vertical="center"/>
    </xf>
    <xf numFmtId="216" fontId="33" fillId="2" borderId="60" xfId="4" applyNumberFormat="1" applyFont="1" applyFill="1" applyBorder="1" applyAlignment="1">
      <alignment horizontal="center" vertical="center"/>
    </xf>
    <xf numFmtId="216" fontId="33" fillId="2" borderId="59" xfId="4" applyNumberFormat="1" applyFont="1" applyFill="1" applyBorder="1" applyAlignment="1">
      <alignment horizontal="center" vertical="center"/>
    </xf>
    <xf numFmtId="216" fontId="33" fillId="2" borderId="7" xfId="4" applyNumberFormat="1" applyFont="1" applyFill="1" applyBorder="1" applyAlignment="1">
      <alignment horizontal="center" vertical="center"/>
    </xf>
    <xf numFmtId="216" fontId="33" fillId="2" borderId="8" xfId="4" applyNumberFormat="1" applyFont="1" applyFill="1" applyBorder="1" applyAlignment="1">
      <alignment horizontal="center" vertical="center"/>
    </xf>
    <xf numFmtId="14" fontId="28" fillId="2" borderId="60" xfId="4" quotePrefix="1" applyNumberFormat="1" applyFont="1" applyFill="1" applyBorder="1" applyAlignment="1">
      <alignment horizontal="center" vertical="center"/>
    </xf>
    <xf numFmtId="14" fontId="28" fillId="2" borderId="59" xfId="4" quotePrefix="1" applyNumberFormat="1" applyFont="1" applyFill="1" applyBorder="1" applyAlignment="1">
      <alignment horizontal="center" vertical="center"/>
    </xf>
    <xf numFmtId="14" fontId="28" fillId="2" borderId="7" xfId="4" quotePrefix="1" applyNumberFormat="1" applyFont="1" applyFill="1" applyBorder="1" applyAlignment="1">
      <alignment horizontal="center" vertical="center"/>
    </xf>
    <xf numFmtId="14" fontId="28" fillId="2" borderId="8" xfId="4" quotePrefix="1" applyNumberFormat="1" applyFont="1" applyFill="1" applyBorder="1" applyAlignment="1">
      <alignment horizontal="center" vertical="center"/>
    </xf>
    <xf numFmtId="216" fontId="28" fillId="2" borderId="58" xfId="4" applyNumberFormat="1" applyFont="1" applyFill="1" applyBorder="1" applyAlignment="1">
      <alignment horizontal="center" vertical="center"/>
    </xf>
    <xf numFmtId="216" fontId="28" fillId="2" borderId="12" xfId="4" applyNumberFormat="1" applyFont="1" applyFill="1" applyBorder="1" applyAlignment="1">
      <alignment horizontal="center" vertical="center"/>
    </xf>
    <xf numFmtId="216" fontId="28" fillId="0" borderId="52" xfId="0" applyNumberFormat="1" applyFont="1" applyBorder="1" applyAlignment="1">
      <alignment horizontal="center" vertical="center"/>
    </xf>
    <xf numFmtId="216" fontId="0" fillId="0" borderId="54" xfId="0" applyNumberFormat="1" applyBorder="1">
      <alignment vertical="center"/>
    </xf>
    <xf numFmtId="216" fontId="0" fillId="0" borderId="59" xfId="0" applyNumberFormat="1" applyBorder="1">
      <alignment vertical="center"/>
    </xf>
    <xf numFmtId="216" fontId="0" fillId="0" borderId="7" xfId="0" applyNumberFormat="1" applyBorder="1">
      <alignment vertical="center"/>
    </xf>
    <xf numFmtId="216" fontId="0" fillId="0" borderId="8" xfId="0" applyNumberFormat="1" applyBorder="1">
      <alignment vertical="center"/>
    </xf>
    <xf numFmtId="216" fontId="0" fillId="0" borderId="12" xfId="0" applyNumberFormat="1" applyBorder="1">
      <alignment vertical="center"/>
    </xf>
    <xf numFmtId="216" fontId="30" fillId="2" borderId="1" xfId="4" applyNumberFormat="1" applyFont="1" applyFill="1" applyBorder="1" applyAlignment="1">
      <alignment horizontal="center" vertical="center"/>
    </xf>
    <xf numFmtId="216" fontId="30" fillId="2" borderId="3" xfId="4" applyNumberFormat="1" applyFont="1" applyFill="1" applyBorder="1" applyAlignment="1">
      <alignment horizontal="center" vertical="center"/>
    </xf>
    <xf numFmtId="216" fontId="30" fillId="2" borderId="4" xfId="4" applyNumberFormat="1" applyFont="1" applyFill="1" applyBorder="1" applyAlignment="1">
      <alignment horizontal="center" vertical="center"/>
    </xf>
    <xf numFmtId="216" fontId="33" fillId="2" borderId="5" xfId="4" applyNumberFormat="1" applyFont="1" applyFill="1" applyBorder="1" applyAlignment="1">
      <alignment horizontal="center" vertical="center"/>
    </xf>
    <xf numFmtId="216" fontId="33" fillId="2" borderId="6" xfId="4" applyNumberFormat="1" applyFont="1" applyFill="1" applyBorder="1" applyAlignment="1">
      <alignment horizontal="center" vertical="center"/>
    </xf>
    <xf numFmtId="216" fontId="28" fillId="2" borderId="16" xfId="4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237" fontId="130" fillId="2" borderId="26" xfId="370" applyNumberFormat="1" applyFont="1" applyFill="1" applyBorder="1" applyAlignment="1">
      <alignment horizontal="center" vertical="center"/>
    </xf>
    <xf numFmtId="237" fontId="130" fillId="2" borderId="30" xfId="370" applyNumberFormat="1" applyFont="1" applyFill="1" applyBorder="1" applyAlignment="1">
      <alignment horizontal="center" vertical="center"/>
    </xf>
    <xf numFmtId="216" fontId="30" fillId="2" borderId="52" xfId="4" applyNumberFormat="1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14" fontId="151" fillId="0" borderId="55" xfId="377" applyNumberFormat="1" applyFont="1" applyFill="1" applyBorder="1" applyAlignment="1">
      <alignment horizontal="center" vertical="center"/>
    </xf>
    <xf numFmtId="14" fontId="151" fillId="0" borderId="106" xfId="377" applyNumberFormat="1" applyFont="1" applyFill="1" applyBorder="1" applyAlignment="1">
      <alignment horizontal="center" vertical="center"/>
    </xf>
    <xf numFmtId="14" fontId="151" fillId="0" borderId="107" xfId="377" applyNumberFormat="1" applyFont="1" applyFill="1" applyBorder="1" applyAlignment="1">
      <alignment horizontal="center" vertical="center"/>
    </xf>
    <xf numFmtId="49" fontId="144" fillId="39" borderId="108" xfId="0" applyNumberFormat="1" applyFont="1" applyFill="1" applyBorder="1" applyAlignment="1" applyProtection="1">
      <alignment horizontal="center" vertical="center"/>
    </xf>
    <xf numFmtId="49" fontId="144" fillId="39" borderId="110" xfId="0" applyNumberFormat="1" applyFont="1" applyFill="1" applyBorder="1" applyAlignment="1" applyProtection="1">
      <alignment horizontal="center" vertical="center"/>
    </xf>
    <xf numFmtId="49" fontId="144" fillId="39" borderId="109" xfId="0" applyNumberFormat="1" applyFont="1" applyFill="1" applyBorder="1" applyAlignment="1" applyProtection="1">
      <alignment horizontal="center" vertical="center"/>
    </xf>
    <xf numFmtId="49" fontId="144" fillId="39" borderId="111" xfId="0" applyNumberFormat="1" applyFont="1" applyFill="1" applyBorder="1" applyAlignment="1" applyProtection="1">
      <alignment horizontal="center" vertical="center"/>
    </xf>
    <xf numFmtId="49" fontId="144" fillId="39" borderId="121" xfId="0" applyNumberFormat="1" applyFont="1" applyFill="1" applyBorder="1" applyAlignment="1" applyProtection="1">
      <alignment horizontal="center" vertical="center"/>
    </xf>
    <xf numFmtId="49" fontId="144" fillId="39" borderId="122" xfId="0" applyNumberFormat="1" applyFont="1" applyFill="1" applyBorder="1" applyAlignment="1" applyProtection="1">
      <alignment horizontal="center" vertical="center"/>
    </xf>
    <xf numFmtId="49" fontId="144" fillId="39" borderId="123" xfId="0" applyNumberFormat="1" applyFont="1" applyFill="1" applyBorder="1" applyAlignment="1" applyProtection="1">
      <alignment horizontal="center" vertical="center"/>
    </xf>
    <xf numFmtId="0" fontId="144" fillId="39" borderId="116" xfId="0" applyFont="1" applyFill="1" applyBorder="1" applyAlignment="1" applyProtection="1">
      <alignment horizontal="center" vertical="center"/>
    </xf>
    <xf numFmtId="0" fontId="144" fillId="39" borderId="117" xfId="0" applyFont="1" applyFill="1" applyBorder="1" applyAlignment="1" applyProtection="1">
      <alignment horizontal="center" vertical="center"/>
    </xf>
    <xf numFmtId="0" fontId="144" fillId="39" borderId="118" xfId="0" applyFont="1" applyFill="1" applyBorder="1" applyAlignment="1" applyProtection="1">
      <alignment horizontal="center" vertical="center"/>
    </xf>
    <xf numFmtId="216" fontId="131" fillId="2" borderId="1" xfId="4" applyNumberFormat="1" applyFont="1" applyFill="1" applyBorder="1" applyAlignment="1">
      <alignment horizontal="center" vertical="center"/>
    </xf>
    <xf numFmtId="216" fontId="131" fillId="2" borderId="3" xfId="4" applyNumberFormat="1" applyFont="1" applyFill="1" applyBorder="1" applyAlignment="1">
      <alignment horizontal="center" vertical="center"/>
    </xf>
    <xf numFmtId="216" fontId="131" fillId="2" borderId="4" xfId="4" applyNumberFormat="1" applyFont="1" applyFill="1" applyBorder="1" applyAlignment="1">
      <alignment horizontal="center" vertical="center"/>
    </xf>
    <xf numFmtId="216" fontId="157" fillId="2" borderId="5" xfId="4" applyNumberFormat="1" applyFont="1" applyFill="1" applyBorder="1" applyAlignment="1">
      <alignment horizontal="center" vertical="center"/>
    </xf>
    <xf numFmtId="216" fontId="157" fillId="2" borderId="6" xfId="4" applyNumberFormat="1" applyFont="1" applyFill="1" applyBorder="1" applyAlignment="1">
      <alignment horizontal="center" vertical="center"/>
    </xf>
    <xf numFmtId="216" fontId="157" fillId="2" borderId="7" xfId="4" applyNumberFormat="1" applyFont="1" applyFill="1" applyBorder="1" applyAlignment="1">
      <alignment horizontal="center" vertical="center"/>
    </xf>
    <xf numFmtId="216" fontId="157" fillId="2" borderId="8" xfId="4" applyNumberFormat="1" applyFont="1" applyFill="1" applyBorder="1" applyAlignment="1">
      <alignment horizontal="center" vertical="center"/>
    </xf>
    <xf numFmtId="14" fontId="130" fillId="2" borderId="4" xfId="4" quotePrefix="1" applyNumberFormat="1" applyFont="1" applyFill="1" applyBorder="1" applyAlignment="1">
      <alignment horizontal="center" vertical="center"/>
    </xf>
    <xf numFmtId="216" fontId="130" fillId="2" borderId="16" xfId="4" applyNumberFormat="1" applyFont="1" applyFill="1" applyBorder="1" applyAlignment="1">
      <alignment horizontal="center" vertical="center"/>
    </xf>
    <xf numFmtId="216" fontId="130" fillId="2" borderId="12" xfId="4" applyNumberFormat="1" applyFont="1" applyFill="1" applyBorder="1" applyAlignment="1">
      <alignment horizontal="center" vertical="center"/>
    </xf>
    <xf numFmtId="216" fontId="31" fillId="0" borderId="15" xfId="0" applyNumberFormat="1" applyFont="1" applyBorder="1" applyAlignment="1">
      <alignment horizontal="center" vertical="center" wrapText="1"/>
    </xf>
    <xf numFmtId="216" fontId="31" fillId="0" borderId="4" xfId="0" applyNumberFormat="1" applyFont="1" applyBorder="1" applyAlignment="1">
      <alignment horizontal="center" vertical="center" wrapText="1"/>
    </xf>
    <xf numFmtId="216" fontId="34" fillId="0" borderId="16" xfId="0" applyNumberFormat="1" applyFont="1" applyBorder="1" applyAlignment="1">
      <alignment horizontal="justify" vertical="center" wrapText="1"/>
    </xf>
    <xf numFmtId="216" fontId="31" fillId="0" borderId="15" xfId="0" applyNumberFormat="1" applyFont="1" applyBorder="1" applyAlignment="1">
      <alignment horizontal="left" vertical="center" wrapText="1"/>
    </xf>
    <xf numFmtId="216" fontId="34" fillId="0" borderId="15" xfId="0" applyNumberFormat="1" applyFont="1" applyBorder="1" applyAlignment="1">
      <alignment horizontal="justify" vertical="center" wrapText="1"/>
    </xf>
    <xf numFmtId="216" fontId="31" fillId="0" borderId="12" xfId="0" applyNumberFormat="1" applyFont="1" applyBorder="1" applyAlignment="1">
      <alignment horizontal="left" vertical="center" wrapText="1"/>
    </xf>
    <xf numFmtId="216" fontId="31" fillId="0" borderId="13" xfId="0" applyNumberFormat="1" applyFont="1" applyBorder="1" applyAlignment="1">
      <alignment horizontal="left" vertical="center" wrapText="1"/>
    </xf>
    <xf numFmtId="216" fontId="31" fillId="0" borderId="0" xfId="0" applyNumberFormat="1" applyFont="1" applyBorder="1" applyAlignment="1">
      <alignment horizontal="left" vertical="center" wrapText="1"/>
    </xf>
    <xf numFmtId="216" fontId="31" fillId="0" borderId="14" xfId="0" applyNumberFormat="1" applyFont="1" applyBorder="1" applyAlignment="1">
      <alignment horizontal="left" vertical="center" wrapText="1"/>
    </xf>
    <xf numFmtId="216" fontId="34" fillId="0" borderId="5" xfId="0" applyNumberFormat="1" applyFont="1" applyBorder="1" applyAlignment="1">
      <alignment horizontal="left" vertical="center" wrapText="1"/>
    </xf>
    <xf numFmtId="216" fontId="34" fillId="0" borderId="11" xfId="0" applyNumberFormat="1" applyFont="1" applyBorder="1" applyAlignment="1">
      <alignment horizontal="left" vertical="center" wrapText="1"/>
    </xf>
    <xf numFmtId="216" fontId="34" fillId="0" borderId="6" xfId="0" applyNumberFormat="1" applyFont="1" applyBorder="1" applyAlignment="1">
      <alignment horizontal="left" vertical="center" wrapText="1"/>
    </xf>
    <xf numFmtId="216" fontId="34" fillId="0" borderId="13" xfId="0" applyNumberFormat="1" applyFont="1" applyBorder="1" applyAlignment="1">
      <alignment horizontal="left" vertical="center" wrapText="1"/>
    </xf>
    <xf numFmtId="216" fontId="34" fillId="0" borderId="0" xfId="0" applyNumberFormat="1" applyFont="1" applyBorder="1" applyAlignment="1">
      <alignment horizontal="left" vertical="center" wrapText="1"/>
    </xf>
    <xf numFmtId="216" fontId="34" fillId="0" borderId="14" xfId="0" applyNumberFormat="1" applyFont="1" applyBorder="1" applyAlignment="1">
      <alignment horizontal="left" vertical="center" wrapText="1"/>
    </xf>
    <xf numFmtId="216" fontId="31" fillId="0" borderId="7" xfId="0" applyNumberFormat="1" applyFont="1" applyBorder="1" applyAlignment="1">
      <alignment horizontal="left" vertical="center" wrapText="1"/>
    </xf>
    <xf numFmtId="216" fontId="31" fillId="0" borderId="9" xfId="0" applyNumberFormat="1" applyFont="1" applyBorder="1" applyAlignment="1">
      <alignment horizontal="left" vertical="center" wrapText="1"/>
    </xf>
    <xf numFmtId="216" fontId="31" fillId="0" borderId="8" xfId="0" applyNumberFormat="1" applyFont="1" applyBorder="1" applyAlignment="1">
      <alignment horizontal="left" vertical="center" wrapText="1"/>
    </xf>
    <xf numFmtId="216" fontId="31" fillId="0" borderId="1" xfId="0" applyNumberFormat="1" applyFont="1" applyBorder="1" applyAlignment="1">
      <alignment horizontal="center" vertical="center" wrapText="1"/>
    </xf>
    <xf numFmtId="216" fontId="31" fillId="0" borderId="2" xfId="0" applyNumberFormat="1" applyFont="1" applyBorder="1" applyAlignment="1">
      <alignment horizontal="center" vertical="center" wrapText="1"/>
    </xf>
    <xf numFmtId="216" fontId="31" fillId="0" borderId="3" xfId="0" applyNumberFormat="1" applyFont="1" applyBorder="1" applyAlignment="1">
      <alignment horizontal="center" vertical="center" wrapText="1"/>
    </xf>
    <xf numFmtId="216" fontId="31" fillId="0" borderId="13" xfId="0" quotePrefix="1" applyNumberFormat="1" applyFont="1" applyBorder="1" applyAlignment="1">
      <alignment horizontal="left" vertical="center" wrapText="1"/>
    </xf>
    <xf numFmtId="216" fontId="98" fillId="2" borderId="1" xfId="4" applyNumberFormat="1" applyFont="1" applyFill="1" applyBorder="1" applyAlignment="1">
      <alignment horizontal="center" vertical="center"/>
    </xf>
    <xf numFmtId="216" fontId="98" fillId="2" borderId="2" xfId="4" applyNumberFormat="1" applyFont="1" applyFill="1" applyBorder="1" applyAlignment="1">
      <alignment horizontal="center" vertical="center"/>
    </xf>
    <xf numFmtId="216" fontId="98" fillId="2" borderId="3" xfId="4" applyNumberFormat="1" applyFont="1" applyFill="1" applyBorder="1" applyAlignment="1">
      <alignment horizontal="center" vertical="center"/>
    </xf>
    <xf numFmtId="216" fontId="115" fillId="2" borderId="16" xfId="4" applyNumberFormat="1" applyFont="1" applyFill="1" applyBorder="1" applyAlignment="1">
      <alignment horizontal="center" vertical="center"/>
    </xf>
    <xf numFmtId="216" fontId="115" fillId="2" borderId="12" xfId="4" applyNumberFormat="1" applyFont="1" applyFill="1" applyBorder="1" applyAlignment="1">
      <alignment horizontal="center" vertical="center"/>
    </xf>
    <xf numFmtId="14" fontId="100" fillId="2" borderId="16" xfId="4" quotePrefix="1" applyNumberFormat="1" applyFont="1" applyFill="1" applyBorder="1" applyAlignment="1">
      <alignment horizontal="center" vertical="center"/>
    </xf>
    <xf numFmtId="14" fontId="100" fillId="2" borderId="12" xfId="4" quotePrefix="1" applyNumberFormat="1" applyFont="1" applyFill="1" applyBorder="1" applyAlignment="1">
      <alignment horizontal="center" vertical="center"/>
    </xf>
    <xf numFmtId="216" fontId="99" fillId="2" borderId="16" xfId="4" applyNumberFormat="1" applyFont="1" applyFill="1" applyBorder="1" applyAlignment="1">
      <alignment horizontal="center" vertical="center"/>
    </xf>
    <xf numFmtId="216" fontId="99" fillId="2" borderId="12" xfId="4" applyNumberFormat="1" applyFont="1" applyFill="1" applyBorder="1" applyAlignment="1">
      <alignment horizontal="center" vertical="center"/>
    </xf>
    <xf numFmtId="216" fontId="4" fillId="0" borderId="58" xfId="4" applyNumberFormat="1" applyFont="1" applyFill="1" applyBorder="1" applyAlignment="1">
      <alignment horizontal="center" vertical="center"/>
    </xf>
    <xf numFmtId="216" fontId="4" fillId="0" borderId="12" xfId="4" applyNumberFormat="1" applyFont="1" applyFill="1" applyBorder="1" applyAlignment="1">
      <alignment horizontal="center" vertical="center"/>
    </xf>
    <xf numFmtId="216" fontId="4" fillId="0" borderId="54" xfId="183" applyNumberFormat="1" applyFont="1" applyBorder="1" applyAlignment="1">
      <alignment vertical="center"/>
    </xf>
    <xf numFmtId="222" fontId="115" fillId="2" borderId="60" xfId="4" applyNumberFormat="1" applyFont="1" applyFill="1" applyBorder="1" applyAlignment="1">
      <alignment horizontal="center" vertical="center"/>
    </xf>
    <xf numFmtId="222" fontId="115" fillId="2" borderId="7" xfId="4" applyNumberFormat="1" applyFont="1" applyFill="1" applyBorder="1" applyAlignment="1">
      <alignment horizontal="center" vertical="center"/>
    </xf>
    <xf numFmtId="14" fontId="4" fillId="2" borderId="52" xfId="4" quotePrefix="1" applyNumberFormat="1" applyFont="1" applyFill="1" applyBorder="1" applyAlignment="1">
      <alignment horizontal="center" vertical="center"/>
    </xf>
    <xf numFmtId="222" fontId="4" fillId="2" borderId="58" xfId="4" applyNumberFormat="1" applyFont="1" applyFill="1" applyBorder="1" applyAlignment="1">
      <alignment horizontal="center" vertical="center"/>
    </xf>
    <xf numFmtId="222" fontId="4" fillId="2" borderId="12" xfId="4" applyNumberFormat="1" applyFont="1" applyFill="1" applyBorder="1" applyAlignment="1">
      <alignment horizontal="center" vertical="center"/>
    </xf>
    <xf numFmtId="216" fontId="28" fillId="0" borderId="54" xfId="0" applyNumberFormat="1" applyFont="1" applyFill="1" applyBorder="1" applyAlignment="1">
      <alignment horizontal="center" vertical="center"/>
    </xf>
    <xf numFmtId="216" fontId="28" fillId="0" borderId="0" xfId="0" applyNumberFormat="1" applyFont="1" applyFill="1" applyBorder="1" applyAlignment="1">
      <alignment horizontal="center" vertical="center"/>
    </xf>
    <xf numFmtId="216" fontId="101" fillId="0" borderId="59" xfId="183" applyNumberFormat="1" applyFont="1" applyBorder="1" applyAlignment="1">
      <alignment horizontal="center" vertical="center"/>
    </xf>
    <xf numFmtId="216" fontId="101" fillId="0" borderId="14" xfId="183" applyNumberFormat="1" applyFont="1" applyBorder="1" applyAlignment="1">
      <alignment horizontal="center" vertical="center"/>
    </xf>
    <xf numFmtId="216" fontId="101" fillId="0" borderId="58" xfId="183" applyNumberFormat="1" applyFont="1" applyBorder="1" applyAlignment="1">
      <alignment horizontal="center" vertical="center"/>
    </xf>
    <xf numFmtId="216" fontId="101" fillId="0" borderId="15" xfId="183" applyNumberFormat="1" applyFont="1" applyBorder="1" applyAlignment="1">
      <alignment horizontal="center" vertical="center"/>
    </xf>
    <xf numFmtId="216" fontId="101" fillId="0" borderId="60" xfId="183" applyNumberFormat="1" applyFont="1" applyBorder="1" applyAlignment="1">
      <alignment horizontal="center" vertical="center"/>
    </xf>
    <xf numFmtId="216" fontId="101" fillId="0" borderId="13" xfId="183" applyNumberFormat="1" applyFont="1" applyBorder="1" applyAlignment="1">
      <alignment horizontal="center" vertical="center"/>
    </xf>
    <xf numFmtId="216" fontId="28" fillId="0" borderId="0" xfId="183" applyNumberFormat="1" applyFont="1" applyFill="1" applyBorder="1" applyAlignment="1">
      <alignment horizontal="center" vertical="center"/>
    </xf>
    <xf numFmtId="216" fontId="28" fillId="0" borderId="9" xfId="183" applyNumberFormat="1" applyFont="1" applyFill="1" applyBorder="1" applyAlignment="1">
      <alignment horizontal="center" vertical="center"/>
    </xf>
    <xf numFmtId="216" fontId="4" fillId="0" borderId="55" xfId="183" applyNumberFormat="1" applyFont="1" applyBorder="1" applyAlignment="1">
      <alignment horizontal="center" vertical="center"/>
    </xf>
    <xf numFmtId="216" fontId="28" fillId="0" borderId="9" xfId="0" applyNumberFormat="1" applyFont="1" applyFill="1" applyBorder="1" applyAlignment="1">
      <alignment horizontal="center" vertical="center"/>
    </xf>
    <xf numFmtId="216" fontId="28" fillId="0" borderId="54" xfId="183" applyNumberFormat="1" applyFont="1" applyFill="1" applyBorder="1" applyAlignment="1">
      <alignment horizontal="center" vertical="center"/>
    </xf>
    <xf numFmtId="216" fontId="28" fillId="0" borderId="52" xfId="183" applyNumberFormat="1" applyFont="1" applyFill="1" applyBorder="1" applyAlignment="1">
      <alignment horizontal="center" vertical="center"/>
    </xf>
    <xf numFmtId="216" fontId="4" fillId="0" borderId="52" xfId="183" applyNumberFormat="1" applyFont="1" applyFill="1" applyBorder="1" applyAlignment="1">
      <alignment horizontal="center" vertical="center"/>
    </xf>
    <xf numFmtId="216" fontId="28" fillId="0" borderId="0" xfId="183" applyNumberFormat="1" applyFont="1" applyFill="1" applyBorder="1" applyAlignment="1">
      <alignment vertical="center"/>
    </xf>
  </cellXfs>
  <cellStyles count="391">
    <cellStyle name="_x0014_" xfId="271"/>
    <cellStyle name="-" xfId="9"/>
    <cellStyle name="          _x000d__x000a_386grabber=vga.3gr_x000d__x000a_" xfId="10"/>
    <cellStyle name="          _x000d__x000a_shell=progman.exe_x000d__x000a_m" xfId="11"/>
    <cellStyle name="-#,###" xfId="12"/>
    <cellStyle name="??" xfId="272"/>
    <cellStyle name="?? [0]_VERA" xfId="13"/>
    <cellStyle name="??&amp;O?&amp;H?_x0008__x000f__x0007_?_x0007__x0001__x0001_" xfId="14"/>
    <cellStyle name="??&amp;O?&amp;H?_x0008_??_x0007__x0001__x0001_" xfId="15"/>
    <cellStyle name="?????_VERA" xfId="16"/>
    <cellStyle name="???_?????? " xfId="17"/>
    <cellStyle name="??_  ?  ?  " xfId="18"/>
    <cellStyle name="?칮E0899intecosch" xfId="19"/>
    <cellStyle name="?칮E0899M1RP" xfId="20"/>
    <cellStyle name="?칮E1999Year End Provision" xfId="21"/>
    <cellStyle name="-_(주)Mcnulty_Cashflowstatement_2005" xfId="23"/>
    <cellStyle name="-_(주)맥널티 주석사항" xfId="22"/>
    <cellStyle name="_1월 압연 ROLL SCHEDULE_1" xfId="336"/>
    <cellStyle name="_1월 압연 SCHEDULE" xfId="337"/>
    <cellStyle name="_5월 생산 SCHEDULE _1" xfId="338"/>
    <cellStyle name="_6월 생산 SCH 안" xfId="339"/>
    <cellStyle name="_6월 생산 Schedule_1" xfId="340"/>
    <cellStyle name="_6월(NEW)" xfId="341"/>
    <cellStyle name="_6월압연계획" xfId="342"/>
    <cellStyle name="_7112 주식매입선택권 재계산시(가정)" xfId="281"/>
    <cellStyle name="_7월압연계획" xfId="343"/>
    <cellStyle name="_9월 Schedule_1" xfId="344"/>
    <cellStyle name="_9월압연계획" xfId="345"/>
    <cellStyle name="-_KITCO분석조서" xfId="34"/>
    <cellStyle name="-_KITCO분석조서_(주)Mcnulty_Cashflowstatement_2005" xfId="36"/>
    <cellStyle name="-_KITCO분석조서_(주)맥널티 주석사항" xfId="35"/>
    <cellStyle name="-_KITCO분석조서_PJ Electric_자본변동표" xfId="40"/>
    <cellStyle name="-_KITCO분석조서_법인세비용" xfId="37"/>
    <cellStyle name="-_KITCO분석조서_법인세비용_(주)Mcnulty_Cashflowstatement_2005" xfId="39"/>
    <cellStyle name="-_KITCO분석조서_법인세비용_(주)맥널티 주석사항" xfId="38"/>
    <cellStyle name="-_PJ Electric_자본변동표" xfId="41"/>
    <cellStyle name="_PQT" xfId="289"/>
    <cellStyle name="_PQT_1" xfId="290"/>
    <cellStyle name="_RHD (2)" xfId="291"/>
    <cellStyle name="_RHD (2)_1" xfId="292"/>
    <cellStyle name="_금형" xfId="282"/>
    <cellStyle name="_롤스케쥴 (01-5)" xfId="346"/>
    <cellStyle name="_롤스케쥴 (01-5)_1" xfId="347"/>
    <cellStyle name="-_법인세비용" xfId="24"/>
    <cellStyle name="-_법인세비용_(주)Mcnulty_Cashflowstatement_2005" xfId="26"/>
    <cellStyle name="-_법인세비용_(주)맥널티 주석사항" xfId="25"/>
    <cellStyle name="_샤시 (2)" xfId="283"/>
    <cellStyle name="_샤시 (2)_1" xfId="284"/>
    <cellStyle name="_샤시 (2)_2" xfId="285"/>
    <cellStyle name="_스톡옵션-이정" xfId="286"/>
    <cellStyle name="_차체 (2)" xfId="287"/>
    <cellStyle name="_차체 (2)_1" xfId="288"/>
    <cellStyle name="-_한세전자02반기분석조서" xfId="27"/>
    <cellStyle name="-_한세전자02반기분석조서_(주)Mcnulty_Cashflowstatement_2005" xfId="29"/>
    <cellStyle name="-_한세전자02반기분석조서_(주)맥널티 주석사항" xfId="28"/>
    <cellStyle name="-_한세전자02반기분석조서_PJ Electric_자본변동표" xfId="33"/>
    <cellStyle name="-_한세전자02반기분석조서_법인세비용" xfId="30"/>
    <cellStyle name="-_한세전자02반기분석조서_법인세비용_(주)Mcnulty_Cashflowstatement_2005" xfId="32"/>
    <cellStyle name="-_한세전자02반기분석조서_법인세비용_(주)맥널티 주석사항" xfId="31"/>
    <cellStyle name="¾E°CE¸°e¹yAI" xfId="42"/>
    <cellStyle name="¹eºÐA²_±aA¸" xfId="43"/>
    <cellStyle name="20% - 강조색1 2" xfId="44"/>
    <cellStyle name="20% - 강조색1 3" xfId="45"/>
    <cellStyle name="20% - 강조색2 2" xfId="46"/>
    <cellStyle name="20% - 강조색2 3" xfId="47"/>
    <cellStyle name="20% - 강조색3 2" xfId="48"/>
    <cellStyle name="20% - 강조색3 3" xfId="49"/>
    <cellStyle name="20% - 강조색4 2" xfId="50"/>
    <cellStyle name="20% - 강조색4 3" xfId="51"/>
    <cellStyle name="20% - 강조색5 2" xfId="52"/>
    <cellStyle name="20% - 강조색5 3" xfId="53"/>
    <cellStyle name="20% - 강조색6 2" xfId="54"/>
    <cellStyle name="20% - 강조색6 3" xfId="55"/>
    <cellStyle name="40% - 강조색1 2" xfId="56"/>
    <cellStyle name="40% - 강조색1 3" xfId="57"/>
    <cellStyle name="40% - 강조색2 2" xfId="58"/>
    <cellStyle name="40% - 강조색2 3" xfId="59"/>
    <cellStyle name="40% - 강조색3 2" xfId="60"/>
    <cellStyle name="40% - 강조색3 3" xfId="61"/>
    <cellStyle name="40% - 강조색4 2" xfId="62"/>
    <cellStyle name="40% - 강조색4 3" xfId="63"/>
    <cellStyle name="40% - 강조색5 2" xfId="64"/>
    <cellStyle name="40% - 강조색5 3" xfId="65"/>
    <cellStyle name="40% - 강조색6 2" xfId="66"/>
    <cellStyle name="40% - 강조색6 3" xfId="67"/>
    <cellStyle name="60% - 강조색1 2" xfId="68"/>
    <cellStyle name="60% - 강조색1 3" xfId="69"/>
    <cellStyle name="60% - 강조색2 2" xfId="70"/>
    <cellStyle name="60% - 강조색2 3" xfId="71"/>
    <cellStyle name="60% - 강조색3 2" xfId="72"/>
    <cellStyle name="60% - 강조색3 3" xfId="73"/>
    <cellStyle name="60% - 강조색4 2" xfId="74"/>
    <cellStyle name="60% - 강조색4 3" xfId="75"/>
    <cellStyle name="60% - 강조색5 2" xfId="76"/>
    <cellStyle name="60% - 강조색5 3" xfId="77"/>
    <cellStyle name="60% - 강조색6 2" xfId="78"/>
    <cellStyle name="60% - 강조색6 3" xfId="79"/>
    <cellStyle name="aa" xfId="203"/>
    <cellStyle name="AeE­ [0]_¸Þ¸ðAa" xfId="204"/>
    <cellStyle name="AeE­_¸Þ¸ðAa" xfId="205"/>
    <cellStyle name="AÞ¸¶ [0]_¸Þ¸ðAa" xfId="206"/>
    <cellStyle name="AÞ¸¶_¸Þ¸ðAa" xfId="207"/>
    <cellStyle name="C￥AØ_¸AAa.¼OAI " xfId="273"/>
    <cellStyle name="Ç¥ÁØ_±â¾È¾ç½Ä (3)" xfId="274"/>
    <cellStyle name="Calc Currency (0)" xfId="208"/>
    <cellStyle name="category" xfId="209"/>
    <cellStyle name="Comma" xfId="210"/>
    <cellStyle name="Comma  - Style1" xfId="211"/>
    <cellStyle name="Comma  - Style2" xfId="212"/>
    <cellStyle name="Comma  - Style3" xfId="213"/>
    <cellStyle name="Comma  - Style4" xfId="214"/>
    <cellStyle name="Comma  - Style5" xfId="215"/>
    <cellStyle name="Comma  - Style6" xfId="216"/>
    <cellStyle name="Comma  - Style7" xfId="217"/>
    <cellStyle name="Comma  - Style8" xfId="218"/>
    <cellStyle name="Comma [0] 8" xfId="380"/>
    <cellStyle name="Comma [0]_ SG&amp;A Bridge " xfId="348"/>
    <cellStyle name="Comma [0]_VC Lead_2007" xfId="372"/>
    <cellStyle name="comma zerodec" xfId="219"/>
    <cellStyle name="Comma_ SG&amp;A Bridge " xfId="349"/>
    <cellStyle name="Comma0" xfId="275"/>
    <cellStyle name="Currency" xfId="220"/>
    <cellStyle name="Currency [0]_ SG&amp;A Bridge " xfId="350"/>
    <cellStyle name="Currency [敐]_laroux_3_97회비_laroux" xfId="351"/>
    <cellStyle name="Currency_ SG&amp;A Bridge " xfId="352"/>
    <cellStyle name="Currency0" xfId="276"/>
    <cellStyle name="Currency1" xfId="221"/>
    <cellStyle name="Date" xfId="222"/>
    <cellStyle name="Dezimal [0]_Compiling Utility Macros" xfId="223"/>
    <cellStyle name="Dezimal_Compiling Utility Macros" xfId="224"/>
    <cellStyle name="Dollar (zero dec)" xfId="225"/>
    <cellStyle name="Euro" xfId="226"/>
    <cellStyle name="F2" xfId="227"/>
    <cellStyle name="F3" xfId="228"/>
    <cellStyle name="F4" xfId="229"/>
    <cellStyle name="F5" xfId="230"/>
    <cellStyle name="F6" xfId="231"/>
    <cellStyle name="F7" xfId="232"/>
    <cellStyle name="F8" xfId="233"/>
    <cellStyle name="Fixed" xfId="234"/>
    <cellStyle name="Followed Hyperlink" xfId="235"/>
    <cellStyle name="Grey" xfId="236"/>
    <cellStyle name="HEADER" xfId="237"/>
    <cellStyle name="Header1" xfId="238"/>
    <cellStyle name="Header2" xfId="239"/>
    <cellStyle name="Heading" xfId="240"/>
    <cellStyle name="Heading 1" xfId="277"/>
    <cellStyle name="Heading 2" xfId="278"/>
    <cellStyle name="heading, 1,A MAJOR/BOLD" xfId="241"/>
    <cellStyle name="Heading_PJ전자 재무제표_20071231" xfId="242"/>
    <cellStyle name="Heading1" xfId="243"/>
    <cellStyle name="Heading2" xfId="244"/>
    <cellStyle name="Hyperlink" xfId="245"/>
    <cellStyle name="iles|_x0005_h" xfId="311"/>
    <cellStyle name="Input [yellow]" xfId="246"/>
    <cellStyle name="les" xfId="312"/>
    <cellStyle name="_x0001_ŀɀ䅀" xfId="353"/>
    <cellStyle name="ŀ䀉ഁŀŀ䀉ԁᄀŀ䅀ഀᄀŀ䅀ഀŀŀ䀉ԁᄀŀ䀉ԁᄀŀ䅀ഀᄀŀ䅀ഀŀŀ䅀ഀ" xfId="354"/>
    <cellStyle name="ŀ䀉ԁᄀŀ䅀ഀᄀŀ䅀ഀŀŀ䀉ԁᄀŀ䀉ԁᄀŀ䅀ഀᄀŀ䅀ഀŀŀ䅀ഀ" xfId="355"/>
    <cellStyle name="ŀ䁁ഁᄀŀ䅀ഀŀŀ䁁ഁᄀŀ䅀ഒŀᄀ䅀ഒᄀᄀ䅀ഒᄀᄀ䅀ഒᄀᄀ䅀ഒŀᄀ䅀ഒᄀᄀ䅀ഀŀŀ䅀ഀ" xfId="356"/>
    <cellStyle name="ŀ䅀ഀ" xfId="357"/>
    <cellStyle name="Millares [0]_PERSONAL" xfId="247"/>
    <cellStyle name="Millares_PERSONAL" xfId="248"/>
    <cellStyle name="Milliers [0]_AR1194" xfId="358"/>
    <cellStyle name="Milliers_AR1194" xfId="359"/>
    <cellStyle name="Model" xfId="249"/>
    <cellStyle name="Mon?aire [0]_AR1194" xfId="360"/>
    <cellStyle name="Mon?aire_AR1194" xfId="361"/>
    <cellStyle name="Moneda [0]_CONTENCION CONDELL 25.051" xfId="250"/>
    <cellStyle name="Moneda_CONTENCION CONDELL 25.051" xfId="251"/>
    <cellStyle name="Normal - Style1" xfId="252"/>
    <cellStyle name="Normal 5" xfId="379"/>
    <cellStyle name="Normal_ SG&amp;A Bridge " xfId="362"/>
    <cellStyle name="Normal_K  Lead_2006" xfId="371"/>
    <cellStyle name="Normal_VC Lead_2007" xfId="373"/>
    <cellStyle name="Normal_감가상각비-20071231" xfId="377"/>
    <cellStyle name="Normal1" xfId="253"/>
    <cellStyle name="Normal2" xfId="254"/>
    <cellStyle name="oft Excel]_x000d__x000a_Comment=The open=/f lines load custom functions into the Paste Function list._x000d__x000a_Maximized=3_x000d__x000a_AutoFormat=" xfId="255"/>
    <cellStyle name="Percent" xfId="256"/>
    <cellStyle name="Percent (0)" xfId="257"/>
    <cellStyle name="Percent [2]" xfId="258"/>
    <cellStyle name="Percent 5" xfId="381"/>
    <cellStyle name="PERCENTAGE" xfId="363"/>
    <cellStyle name="R?" xfId="313"/>
    <cellStyle name="RevList" xfId="279"/>
    <cellStyle name="sche|_x0005_" xfId="314"/>
    <cellStyle name="Standard_Anpassen der Amortisation" xfId="259"/>
    <cellStyle name="STYLE1 - Style1" xfId="260"/>
    <cellStyle name="STYLE2 - Style2" xfId="261"/>
    <cellStyle name="STYLE3 - Style3" xfId="262"/>
    <cellStyle name="STYLE4 - Style4" xfId="263"/>
    <cellStyle name="subhead" xfId="264"/>
    <cellStyle name="Subtotal" xfId="280"/>
    <cellStyle name="Thousands" xfId="265"/>
    <cellStyle name="Tickmark" xfId="266"/>
    <cellStyle name="Total" xfId="267"/>
    <cellStyle name="Unprotect" xfId="268"/>
    <cellStyle name="W?rung [0]_Compiling Utility Macros" xfId="269"/>
    <cellStyle name="W?rung_Compiling Utility Macros" xfId="270"/>
    <cellStyle name="XLS'|_x0005_t" xfId="315"/>
    <cellStyle name="ɀ䀉_x0001_ᄀɀ䀉_x0001_ᄀɀ䅀" xfId="364"/>
    <cellStyle name="ɀ䅀" xfId="365"/>
    <cellStyle name="ᄀ䅀ഒŀᄀ䅀ഒᄀᄀ䅀ഀŀŀ䅀ഀ" xfId="366"/>
    <cellStyle name="강조색1 2" xfId="80"/>
    <cellStyle name="강조색1 3" xfId="81"/>
    <cellStyle name="강조색2 2" xfId="82"/>
    <cellStyle name="강조색2 3" xfId="83"/>
    <cellStyle name="강조색3 2" xfId="84"/>
    <cellStyle name="강조색3 3" xfId="85"/>
    <cellStyle name="강조색4 2" xfId="86"/>
    <cellStyle name="강조색4 3" xfId="87"/>
    <cellStyle name="강조색5 2" xfId="88"/>
    <cellStyle name="강조색5 3" xfId="89"/>
    <cellStyle name="강조색6 2" xfId="90"/>
    <cellStyle name="강조색6 3" xfId="91"/>
    <cellStyle name="경고문 2" xfId="92"/>
    <cellStyle name="경고문 3" xfId="93"/>
    <cellStyle name="계산 2" xfId="94"/>
    <cellStyle name="계산 3" xfId="95"/>
    <cellStyle name="고정소숫점" xfId="96"/>
    <cellStyle name="고정출력1" xfId="97"/>
    <cellStyle name="고정출력2" xfId="98"/>
    <cellStyle name="咬訌裝?INCOM1" xfId="99"/>
    <cellStyle name="咬訌裝?INCOM10" xfId="100"/>
    <cellStyle name="咬訌裝?INCOM2" xfId="101"/>
    <cellStyle name="咬訌裝?INCOM3" xfId="102"/>
    <cellStyle name="咬訌裝?INCOM4" xfId="103"/>
    <cellStyle name="咬訌裝?INCOM5" xfId="104"/>
    <cellStyle name="咬訌裝?INCOM6" xfId="105"/>
    <cellStyle name="咬訌裝?INCOM7" xfId="106"/>
    <cellStyle name="咬訌裝?INCOM8" xfId="107"/>
    <cellStyle name="咬訌裝?INCOM9" xfId="108"/>
    <cellStyle name="咬訌裝?PRIB11" xfId="109"/>
    <cellStyle name="금액" xfId="110"/>
    <cellStyle name="나쁨 2" xfId="111"/>
    <cellStyle name="나쁨 3" xfId="112"/>
    <cellStyle name="날짜" xfId="113"/>
    <cellStyle name="달러" xfId="114"/>
    <cellStyle name="뒤에 오는 하이퍼링크_23_전자원장_오리온제일호" xfId="115"/>
    <cellStyle name="똿뗦먛귟 [0.00]_PRODUCT DETAIL Q1" xfId="116"/>
    <cellStyle name="똿뗦먛귟_PRODUCT DETAIL Q1" xfId="117"/>
    <cellStyle name="메모 2" xfId="118"/>
    <cellStyle name="메모 3" xfId="119"/>
    <cellStyle name="믅됞 [0.00]_PRODUCT DETAIL Q1" xfId="120"/>
    <cellStyle name="믅됞_PRODUCT DETAIL Q1" xfId="121"/>
    <cellStyle name="백분율" xfId="2" builtinId="5"/>
    <cellStyle name="백분율 2" xfId="122"/>
    <cellStyle name="백분율 2 2" xfId="123"/>
    <cellStyle name="백분율 2 3" xfId="383"/>
    <cellStyle name="백분율 3" xfId="124"/>
    <cellStyle name="백분율 4" xfId="125"/>
    <cellStyle name="백분율 5" xfId="126"/>
    <cellStyle name="백분율 6" xfId="293"/>
    <cellStyle name="백분율 7" xfId="384"/>
    <cellStyle name="보통 2" xfId="127"/>
    <cellStyle name="보통 3" xfId="128"/>
    <cellStyle name="뷭?_BOOKSHIP" xfId="129"/>
    <cellStyle name="뷭?〰Q1fcst_영업외비용,수익_결산명세" xfId="367"/>
    <cellStyle name="常规_Oracle Items" xfId="320"/>
    <cellStyle name="설명 텍스트 2" xfId="130"/>
    <cellStyle name="설명 텍스트 3" xfId="131"/>
    <cellStyle name="셀 확인 2" xfId="132"/>
    <cellStyle name="셀 확인 3" xfId="133"/>
    <cellStyle name="셈迷?XLS!check_filesche|_x0005_" xfId="294"/>
    <cellStyle name="숫자(R)" xfId="134"/>
    <cellStyle name="쉼표 [0]" xfId="1" builtinId="6"/>
    <cellStyle name="쉼표 [0] 10" xfId="321"/>
    <cellStyle name="쉼표 [0] 11" xfId="385"/>
    <cellStyle name="쉼표 [0] 2" xfId="135"/>
    <cellStyle name="쉼표 [0] 2 2" xfId="136"/>
    <cellStyle name="쉼표 [0] 2 3" xfId="386"/>
    <cellStyle name="쉼표 [0] 3" xfId="137"/>
    <cellStyle name="쉼표 [0] 3 2" xfId="295"/>
    <cellStyle name="쉼표 [0] 4" xfId="138"/>
    <cellStyle name="쉼표 [0] 4 2" xfId="139"/>
    <cellStyle name="쉼표 [0] 4 3" xfId="319"/>
    <cellStyle name="쉼표 [0] 4_leadsheet_07" xfId="140"/>
    <cellStyle name="쉼표 [0] 5" xfId="141"/>
    <cellStyle name="쉼표 [0] 6" xfId="142"/>
    <cellStyle name="쉼표 [0] 7" xfId="143"/>
    <cellStyle name="쉼표 [0] 8" xfId="296"/>
    <cellStyle name="쉼표 [0] 9" xfId="297"/>
    <cellStyle name="쉼표 [0]_2003인포뱅크반기" xfId="316"/>
    <cellStyle name="쉼표 [0]_Subnstantive-(주)팬제노믹스-수정" xfId="7"/>
    <cellStyle name="스타일 1" xfId="144"/>
    <cellStyle name="스타일 2" xfId="368"/>
    <cellStyle name="스타일 3" xfId="369"/>
    <cellStyle name="안건회계법인" xfId="145"/>
    <cellStyle name="연결된 셀 2" xfId="146"/>
    <cellStyle name="연결된 셀 3" xfId="147"/>
    <cellStyle name="요약 2" xfId="148"/>
    <cellStyle name="요약 3" xfId="149"/>
    <cellStyle name="원통화" xfId="150"/>
    <cellStyle name="一般_COMM" xfId="151"/>
    <cellStyle name="입력 2" xfId="152"/>
    <cellStyle name="입력 3" xfId="153"/>
    <cellStyle name="자리수" xfId="154"/>
    <cellStyle name="자리수0" xfId="155"/>
    <cellStyle name="제목 1 2" xfId="156"/>
    <cellStyle name="제목 1 3" xfId="157"/>
    <cellStyle name="제목 2 2" xfId="158"/>
    <cellStyle name="제목 2 3" xfId="159"/>
    <cellStyle name="제목 3 2" xfId="160"/>
    <cellStyle name="제목 3 3" xfId="161"/>
    <cellStyle name="제목 4 2" xfId="162"/>
    <cellStyle name="제목 4 3" xfId="163"/>
    <cellStyle name="제목 5" xfId="164"/>
    <cellStyle name="제목 6" xfId="165"/>
    <cellStyle name="晀화_양식2_계획대비" xfId="202"/>
    <cellStyle name="좋음 2" xfId="166"/>
    <cellStyle name="좋음 3" xfId="167"/>
    <cellStyle name="지정되지 않음" xfId="168"/>
    <cellStyle name="쨊ㅐ쫨E0]_0899intecosch" xfId="169"/>
    <cellStyle name="쨊ㅐ쫨E0899intecosch" xfId="170"/>
    <cellStyle name="쨊ㅐ쫨E0899M1RP" xfId="171"/>
    <cellStyle name="쨊ㅐ쫨E1999Year End Provision" xfId="172"/>
    <cellStyle name="千分位[0]_COMM" xfId="173"/>
    <cellStyle name="千分位_COMM" xfId="174"/>
    <cellStyle name="출력 2" xfId="175"/>
    <cellStyle name="출력 3" xfId="176"/>
    <cellStyle name="콤냡?&lt;_x000f_$??: `1_1 " xfId="298"/>
    <cellStyle name="콤마 [0]" xfId="177"/>
    <cellStyle name="콤마,_x0005__x0014_" xfId="299"/>
    <cellStyle name="콤마_  종  합  " xfId="178"/>
    <cellStyle name="쿯뱐_0899intecosch" xfId="179"/>
    <cellStyle name="쿯퉩E[0]_0899intecosch" xfId="180"/>
    <cellStyle name="턜퀂뎡" xfId="181"/>
    <cellStyle name="통화 [0]_현금흐름표 수정" xfId="6"/>
    <cellStyle name="퍼센트" xfId="182"/>
    <cellStyle name="표구분" xfId="322"/>
    <cellStyle name="표준" xfId="0" builtinId="0"/>
    <cellStyle name="표준 10" xfId="183"/>
    <cellStyle name="표준 11" xfId="300"/>
    <cellStyle name="표준 12" xfId="301"/>
    <cellStyle name="표준 12 2" xfId="323"/>
    <cellStyle name="표준 13" xfId="302"/>
    <cellStyle name="표준 13 2" xfId="324"/>
    <cellStyle name="표준 14" xfId="303"/>
    <cellStyle name="표준 14 2" xfId="325"/>
    <cellStyle name="표준 15" xfId="304"/>
    <cellStyle name="표준 16" xfId="305"/>
    <cellStyle name="표준 17" xfId="326"/>
    <cellStyle name="표준 18" xfId="370"/>
    <cellStyle name="표준 19" xfId="327"/>
    <cellStyle name="표준 19 2" xfId="328"/>
    <cellStyle name="표준 19 3" xfId="390"/>
    <cellStyle name="표준 2" xfId="184"/>
    <cellStyle name="표준 2 2" xfId="185"/>
    <cellStyle name="표준 2 2 3" xfId="375"/>
    <cellStyle name="표준 2 3" xfId="186"/>
    <cellStyle name="표준 2 4" xfId="187"/>
    <cellStyle name="표준 2 5" xfId="387"/>
    <cellStyle name="표준 2_(주)Viromed_급여대사" xfId="188"/>
    <cellStyle name="표준 20" xfId="329"/>
    <cellStyle name="표준 20 2" xfId="330"/>
    <cellStyle name="표준 21" xfId="331"/>
    <cellStyle name="표준 22" xfId="306"/>
    <cellStyle name="표준 24" xfId="332"/>
    <cellStyle name="표준 25" xfId="333"/>
    <cellStyle name="표준 26" xfId="334"/>
    <cellStyle name="표준 27" xfId="374"/>
    <cellStyle name="표준 29" xfId="382"/>
    <cellStyle name="표준 3" xfId="189"/>
    <cellStyle name="표준 3 2" xfId="307"/>
    <cellStyle name="표준 3 3" xfId="335"/>
    <cellStyle name="표준 4" xfId="190"/>
    <cellStyle name="표준 4 2" xfId="308"/>
    <cellStyle name="표준 5" xfId="191"/>
    <cellStyle name="표준 6" xfId="192"/>
    <cellStyle name="표준 6 2" xfId="309"/>
    <cellStyle name="표준 7" xfId="193"/>
    <cellStyle name="표준 8" xfId="194"/>
    <cellStyle name="표준 9" xfId="195"/>
    <cellStyle name="표준_07.12.31 결산" xfId="389"/>
    <cellStyle name="표준_2003인포뱅크반기" xfId="317"/>
    <cellStyle name="標準_A_B90" xfId="310"/>
    <cellStyle name="표준_gcc99" xfId="3"/>
    <cellStyle name="표준_PJ전자-substantive2000" xfId="4"/>
    <cellStyle name="표준_sample report1" xfId="318"/>
    <cellStyle name="標準_Sheet1" xfId="196"/>
    <cellStyle name="표준_감가상각비OverallTest(정율법)" xfId="376"/>
    <cellStyle name="표준_기준환율2002" xfId="5"/>
    <cellStyle name="표준_메디텔-substantive2000" xfId="8"/>
    <cellStyle name="표준_비품" xfId="378"/>
    <cellStyle name="표준_상반기" xfId="388"/>
    <cellStyle name="합산" xfId="197"/>
    <cellStyle name="貨幣 [0]_COMM" xfId="198"/>
    <cellStyle name="貨幣_COMM" xfId="199"/>
    <cellStyle name="화폐기호" xfId="200"/>
    <cellStyle name="화폐기호0" xfId="201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numFmt numFmtId="240" formatCode="###,###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top style="thin">
          <color auto="1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굴림체"/>
        <scheme val="none"/>
      </font>
      <fill>
        <patternFill patternType="solid">
          <fgColor indexed="64"/>
          <bgColor indexed="10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3" formatCode="_-* #,##0_-;\-* #,##0_-;_-* &quot;-&quot;_-;_-@_-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12" Type="http://schemas.openxmlformats.org/officeDocument/2006/relationships/externalLink" Target="externalLinks/externalLink2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0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5.xml"/><Relationship Id="rId110" Type="http://schemas.openxmlformats.org/officeDocument/2006/relationships/externalLink" Target="externalLinks/externalLink23.xml"/><Relationship Id="rId11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3.xml"/><Relationship Id="rId95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26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6.xml"/><Relationship Id="rId9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21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externalLink" Target="externalLinks/externalLink9.xml"/><Relationship Id="rId11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27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7.xml"/><Relationship Id="rId99" Type="http://schemas.openxmlformats.org/officeDocument/2006/relationships/externalLink" Target="externalLinks/externalLink12.xml"/><Relationship Id="rId10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0.xml"/><Relationship Id="rId104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pivotSource>
    <c:name>[별첨자료4-결산자료.xlsx]Sheet4!피벗 테이블1</c:name>
    <c:fmtId val="2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</c:pivotFmts>
    <c:plotArea>
      <c:layout/>
      <c:lineChart>
        <c:grouping val="standard"/>
        <c:ser>
          <c:idx val="0"/>
          <c:order val="0"/>
          <c:tx>
            <c:strRef>
              <c:f>Sheet4!$B$1:$B$2</c:f>
              <c:strCache>
                <c:ptCount val="1"/>
                <c:pt idx="0">
                  <c:v>교육훈련비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Sheet4!$B$3:$B$15</c:f>
              <c:numCache>
                <c:formatCode>_-* #,##0_-;\-* #,##0_-;_-* "-"_-;_-@_-</c:formatCode>
                <c:ptCount val="12"/>
                <c:pt idx="1">
                  <c:v>32070</c:v>
                </c:pt>
                <c:pt idx="2">
                  <c:v>-201365</c:v>
                </c:pt>
                <c:pt idx="3">
                  <c:v>30000</c:v>
                </c:pt>
                <c:pt idx="4">
                  <c:v>210000</c:v>
                </c:pt>
                <c:pt idx="5">
                  <c:v>1367200</c:v>
                </c:pt>
                <c:pt idx="8">
                  <c:v>135000</c:v>
                </c:pt>
                <c:pt idx="9">
                  <c:v>3800</c:v>
                </c:pt>
                <c:pt idx="10">
                  <c:v>410000</c:v>
                </c:pt>
                <c:pt idx="11">
                  <c:v>-41460</c:v>
                </c:pt>
              </c:numCache>
            </c:numRef>
          </c:val>
        </c:ser>
        <c:ser>
          <c:idx val="1"/>
          <c:order val="1"/>
          <c:tx>
            <c:strRef>
              <c:f>Sheet4!$C$1:$C$2</c:f>
              <c:strCache>
                <c:ptCount val="1"/>
                <c:pt idx="0">
                  <c:v>교통비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Sheet4!$C$3:$C$15</c:f>
              <c:numCache>
                <c:formatCode>_-* #,##0_-;\-* #,##0_-;_-* "-"_-;_-@_-</c:formatCode>
                <c:ptCount val="12"/>
                <c:pt idx="0">
                  <c:v>30000</c:v>
                </c:pt>
                <c:pt idx="1">
                  <c:v>117500</c:v>
                </c:pt>
                <c:pt idx="2">
                  <c:v>37900</c:v>
                </c:pt>
                <c:pt idx="3">
                  <c:v>126300</c:v>
                </c:pt>
                <c:pt idx="4">
                  <c:v>122400</c:v>
                </c:pt>
                <c:pt idx="5">
                  <c:v>11900</c:v>
                </c:pt>
                <c:pt idx="6">
                  <c:v>59900</c:v>
                </c:pt>
                <c:pt idx="9">
                  <c:v>2400</c:v>
                </c:pt>
              </c:numCache>
            </c:numRef>
          </c:val>
        </c:ser>
        <c:ser>
          <c:idx val="2"/>
          <c:order val="2"/>
          <c:tx>
            <c:strRef>
              <c:f>Sheet4!$D$1:$D$2</c:f>
              <c:strCache>
                <c:ptCount val="1"/>
                <c:pt idx="0">
                  <c:v>기관운영비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Sheet4!$D$3:$D$15</c:f>
              <c:numCache>
                <c:formatCode>_-* #,##0_-;\-* #,##0_-;_-* "-"_-;_-@_-</c:formatCode>
                <c:ptCount val="12"/>
                <c:pt idx="0">
                  <c:v>641310</c:v>
                </c:pt>
                <c:pt idx="1">
                  <c:v>757800</c:v>
                </c:pt>
                <c:pt idx="2">
                  <c:v>732100</c:v>
                </c:pt>
                <c:pt idx="3">
                  <c:v>-3365200</c:v>
                </c:pt>
                <c:pt idx="4">
                  <c:v>893921</c:v>
                </c:pt>
                <c:pt idx="5">
                  <c:v>502100</c:v>
                </c:pt>
                <c:pt idx="6">
                  <c:v>693550</c:v>
                </c:pt>
                <c:pt idx="7">
                  <c:v>290900</c:v>
                </c:pt>
                <c:pt idx="8">
                  <c:v>535400</c:v>
                </c:pt>
                <c:pt idx="9">
                  <c:v>166500</c:v>
                </c:pt>
                <c:pt idx="10">
                  <c:v>773530</c:v>
                </c:pt>
                <c:pt idx="11">
                  <c:v>-1615000</c:v>
                </c:pt>
              </c:numCache>
            </c:numRef>
          </c:val>
        </c:ser>
        <c:ser>
          <c:idx val="3"/>
          <c:order val="3"/>
          <c:tx>
            <c:strRef>
              <c:f>Sheet4!$E$1:$E$2</c:f>
              <c:strCache>
                <c:ptCount val="1"/>
                <c:pt idx="0">
                  <c:v>기타경상비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Sheet4!$E$3:$E$15</c:f>
              <c:numCache>
                <c:formatCode>_-* #,##0_-;\-* #,##0_-;_-* "-"_-;_-@_-</c:formatCode>
                <c:ptCount val="12"/>
                <c:pt idx="6">
                  <c:v>7400</c:v>
                </c:pt>
              </c:numCache>
            </c:numRef>
          </c:val>
        </c:ser>
        <c:ser>
          <c:idx val="4"/>
          <c:order val="4"/>
          <c:tx>
            <c:strRef>
              <c:f>Sheet4!$F$1:$F$2</c:f>
              <c:strCache>
                <c:ptCount val="1"/>
                <c:pt idx="0">
                  <c:v>대외협력비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Sheet4!$F$3:$F$15</c:f>
              <c:numCache>
                <c:formatCode>_-* #,##0_-;\-* #,##0_-;_-* "-"_-;_-@_-</c:formatCode>
                <c:ptCount val="12"/>
                <c:pt idx="4">
                  <c:v>2214334</c:v>
                </c:pt>
                <c:pt idx="8">
                  <c:v>1980000</c:v>
                </c:pt>
                <c:pt idx="9">
                  <c:v>170121</c:v>
                </c:pt>
              </c:numCache>
            </c:numRef>
          </c:val>
        </c:ser>
        <c:ser>
          <c:idx val="5"/>
          <c:order val="5"/>
          <c:tx>
            <c:strRef>
              <c:f>Sheet4!$G$1:$G$2</c:f>
              <c:strCache>
                <c:ptCount val="1"/>
                <c:pt idx="0">
                  <c:v>도서인쇄비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Sheet4!$G$3:$G$15</c:f>
              <c:numCache>
                <c:formatCode>_-* #,##0_-;\-* #,##0_-;_-* "-"_-;_-@_-</c:formatCode>
                <c:ptCount val="12"/>
                <c:pt idx="0">
                  <c:v>30000</c:v>
                </c:pt>
                <c:pt idx="1">
                  <c:v>65200</c:v>
                </c:pt>
                <c:pt idx="2">
                  <c:v>35500</c:v>
                </c:pt>
                <c:pt idx="3">
                  <c:v>184300</c:v>
                </c:pt>
                <c:pt idx="4">
                  <c:v>30000</c:v>
                </c:pt>
                <c:pt idx="5">
                  <c:v>44000</c:v>
                </c:pt>
                <c:pt idx="6">
                  <c:v>74800</c:v>
                </c:pt>
                <c:pt idx="7">
                  <c:v>30000</c:v>
                </c:pt>
                <c:pt idx="8">
                  <c:v>79500</c:v>
                </c:pt>
                <c:pt idx="9">
                  <c:v>8800</c:v>
                </c:pt>
                <c:pt idx="10">
                  <c:v>60000</c:v>
                </c:pt>
                <c:pt idx="11">
                  <c:v>30000</c:v>
                </c:pt>
              </c:numCache>
            </c:numRef>
          </c:val>
        </c:ser>
        <c:ser>
          <c:idx val="6"/>
          <c:order val="6"/>
          <c:tx>
            <c:strRef>
              <c:f>Sheet4!$H$1:$H$2</c:f>
              <c:strCache>
                <c:ptCount val="1"/>
                <c:pt idx="0">
                  <c:v>보험료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Sheet4!$H$3:$H$15</c:f>
              <c:numCache>
                <c:formatCode>_-* #,##0_-;\-* #,##0_-;_-* "-"_-;_-@_-</c:formatCode>
                <c:ptCount val="12"/>
                <c:pt idx="0">
                  <c:v>600000</c:v>
                </c:pt>
                <c:pt idx="1">
                  <c:v>600000</c:v>
                </c:pt>
                <c:pt idx="2">
                  <c:v>726220</c:v>
                </c:pt>
                <c:pt idx="3">
                  <c:v>600000</c:v>
                </c:pt>
                <c:pt idx="4">
                  <c:v>600000</c:v>
                </c:pt>
                <c:pt idx="5">
                  <c:v>600000</c:v>
                </c:pt>
                <c:pt idx="6">
                  <c:v>600000</c:v>
                </c:pt>
                <c:pt idx="7">
                  <c:v>600000</c:v>
                </c:pt>
                <c:pt idx="8">
                  <c:v>600000</c:v>
                </c:pt>
                <c:pt idx="9">
                  <c:v>600000</c:v>
                </c:pt>
                <c:pt idx="10">
                  <c:v>600000</c:v>
                </c:pt>
                <c:pt idx="11">
                  <c:v>-5496348</c:v>
                </c:pt>
              </c:numCache>
            </c:numRef>
          </c:val>
        </c:ser>
        <c:ser>
          <c:idx val="7"/>
          <c:order val="7"/>
          <c:tx>
            <c:strRef>
              <c:f>Sheet4!$I$1:$I$2</c:f>
              <c:strCache>
                <c:ptCount val="1"/>
                <c:pt idx="0">
                  <c:v>복리후생비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Sheet4!$I$3:$I$15</c:f>
              <c:numCache>
                <c:formatCode>_-* #,##0_-;\-* #,##0_-;_-* "-"_-;_-@_-</c:formatCode>
                <c:ptCount val="12"/>
                <c:pt idx="0">
                  <c:v>2121200</c:v>
                </c:pt>
                <c:pt idx="1">
                  <c:v>1713400</c:v>
                </c:pt>
                <c:pt idx="2">
                  <c:v>12584</c:v>
                </c:pt>
                <c:pt idx="3">
                  <c:v>373136</c:v>
                </c:pt>
                <c:pt idx="4">
                  <c:v>1120000</c:v>
                </c:pt>
                <c:pt idx="5">
                  <c:v>-3708700</c:v>
                </c:pt>
                <c:pt idx="6">
                  <c:v>1207300</c:v>
                </c:pt>
                <c:pt idx="7">
                  <c:v>1190000</c:v>
                </c:pt>
                <c:pt idx="8">
                  <c:v>2755620</c:v>
                </c:pt>
                <c:pt idx="9">
                  <c:v>1227000</c:v>
                </c:pt>
                <c:pt idx="10">
                  <c:v>-1405650</c:v>
                </c:pt>
                <c:pt idx="11">
                  <c:v>-2114369</c:v>
                </c:pt>
              </c:numCache>
            </c:numRef>
          </c:val>
        </c:ser>
        <c:ser>
          <c:idx val="8"/>
          <c:order val="8"/>
          <c:tx>
            <c:strRef>
              <c:f>Sheet4!$J$1:$J$2</c:f>
              <c:strCache>
                <c:ptCount val="1"/>
                <c:pt idx="0">
                  <c:v>사무용품비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Sheet4!$J$3:$J$15</c:f>
              <c:numCache>
                <c:formatCode>_-* #,##0_-;\-* #,##0_-;_-* "-"_-;_-@_-</c:formatCode>
                <c:ptCount val="12"/>
                <c:pt idx="0">
                  <c:v>311700</c:v>
                </c:pt>
                <c:pt idx="1">
                  <c:v>2337520</c:v>
                </c:pt>
                <c:pt idx="2">
                  <c:v>737000</c:v>
                </c:pt>
                <c:pt idx="5">
                  <c:v>5000</c:v>
                </c:pt>
                <c:pt idx="10">
                  <c:v>9000</c:v>
                </c:pt>
                <c:pt idx="11">
                  <c:v>6432</c:v>
                </c:pt>
              </c:numCache>
            </c:numRef>
          </c:val>
        </c:ser>
        <c:ser>
          <c:idx val="9"/>
          <c:order val="9"/>
          <c:tx>
            <c:strRef>
              <c:f>Sheet4!$K$1:$K$2</c:f>
              <c:strCache>
                <c:ptCount val="1"/>
                <c:pt idx="0">
                  <c:v>세금과공과금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Sheet4!$K$3:$K$15</c:f>
              <c:numCache>
                <c:formatCode>_-* #,##0_-;\-* #,##0_-;_-* "-"_-;_-@_-</c:formatCode>
                <c:ptCount val="12"/>
                <c:pt idx="0">
                  <c:v>18000</c:v>
                </c:pt>
                <c:pt idx="2">
                  <c:v>280250</c:v>
                </c:pt>
                <c:pt idx="3">
                  <c:v>145972</c:v>
                </c:pt>
                <c:pt idx="6">
                  <c:v>2888868</c:v>
                </c:pt>
                <c:pt idx="7">
                  <c:v>62500</c:v>
                </c:pt>
                <c:pt idx="8">
                  <c:v>6239350</c:v>
                </c:pt>
                <c:pt idx="9">
                  <c:v>1028816</c:v>
                </c:pt>
                <c:pt idx="11">
                  <c:v>147116</c:v>
                </c:pt>
              </c:numCache>
            </c:numRef>
          </c:val>
        </c:ser>
        <c:ser>
          <c:idx val="10"/>
          <c:order val="10"/>
          <c:tx>
            <c:strRef>
              <c:f>Sheet4!$L$1:$L$2</c:f>
              <c:strCache>
                <c:ptCount val="1"/>
                <c:pt idx="0">
                  <c:v>수도광열비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Sheet4!$L$3:$L$15</c:f>
              <c:numCache>
                <c:formatCode>_-* #,##0_-;\-* #,##0_-;_-* "-"_-;_-@_-</c:formatCode>
                <c:ptCount val="12"/>
                <c:pt idx="0">
                  <c:v>1245290</c:v>
                </c:pt>
                <c:pt idx="1">
                  <c:v>1178150</c:v>
                </c:pt>
                <c:pt idx="2">
                  <c:v>1136800</c:v>
                </c:pt>
                <c:pt idx="3">
                  <c:v>727660</c:v>
                </c:pt>
                <c:pt idx="4">
                  <c:v>728910</c:v>
                </c:pt>
                <c:pt idx="5">
                  <c:v>472660</c:v>
                </c:pt>
                <c:pt idx="6">
                  <c:v>652910</c:v>
                </c:pt>
                <c:pt idx="7">
                  <c:v>545160</c:v>
                </c:pt>
                <c:pt idx="8">
                  <c:v>659360</c:v>
                </c:pt>
                <c:pt idx="9">
                  <c:v>370190</c:v>
                </c:pt>
                <c:pt idx="10">
                  <c:v>584180</c:v>
                </c:pt>
                <c:pt idx="11">
                  <c:v>905750</c:v>
                </c:pt>
              </c:numCache>
            </c:numRef>
          </c:val>
        </c:ser>
        <c:ser>
          <c:idx val="11"/>
          <c:order val="11"/>
          <c:tx>
            <c:strRef>
              <c:f>Sheet4!$M$1:$M$2</c:f>
              <c:strCache>
                <c:ptCount val="1"/>
                <c:pt idx="0">
                  <c:v>수선비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Sheet4!$M$3:$M$15</c:f>
              <c:numCache>
                <c:formatCode>_-* #,##0_-;\-* #,##0_-;_-* "-"_-;_-@_-</c:formatCode>
                <c:ptCount val="12"/>
                <c:pt idx="1">
                  <c:v>50000</c:v>
                </c:pt>
              </c:numCache>
            </c:numRef>
          </c:val>
        </c:ser>
        <c:ser>
          <c:idx val="12"/>
          <c:order val="12"/>
          <c:tx>
            <c:strRef>
              <c:f>Sheet4!$N$1:$N$2</c:f>
              <c:strCache>
                <c:ptCount val="1"/>
                <c:pt idx="0">
                  <c:v>수수료비용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Sheet4!$N$3:$N$15</c:f>
              <c:numCache>
                <c:formatCode>_-* #,##0_-;\-* #,##0_-;_-* "-"_-;_-@_-</c:formatCode>
                <c:ptCount val="12"/>
                <c:pt idx="0">
                  <c:v>520709</c:v>
                </c:pt>
                <c:pt idx="1">
                  <c:v>979519</c:v>
                </c:pt>
                <c:pt idx="2">
                  <c:v>749979</c:v>
                </c:pt>
                <c:pt idx="3">
                  <c:v>9646589</c:v>
                </c:pt>
                <c:pt idx="4">
                  <c:v>3775236</c:v>
                </c:pt>
                <c:pt idx="5">
                  <c:v>755623</c:v>
                </c:pt>
                <c:pt idx="6">
                  <c:v>1102392</c:v>
                </c:pt>
                <c:pt idx="7">
                  <c:v>513862</c:v>
                </c:pt>
                <c:pt idx="8">
                  <c:v>493065</c:v>
                </c:pt>
                <c:pt idx="9">
                  <c:v>518245</c:v>
                </c:pt>
                <c:pt idx="10">
                  <c:v>556955</c:v>
                </c:pt>
                <c:pt idx="11">
                  <c:v>733890</c:v>
                </c:pt>
              </c:numCache>
            </c:numRef>
          </c:val>
        </c:ser>
        <c:ser>
          <c:idx val="13"/>
          <c:order val="13"/>
          <c:tx>
            <c:strRef>
              <c:f>Sheet4!$O$1:$O$2</c:f>
              <c:strCache>
                <c:ptCount val="1"/>
                <c:pt idx="0">
                  <c:v>시설장비유지비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Sheet4!$O$3:$O$15</c:f>
              <c:numCache>
                <c:formatCode>_-* #,##0_-;\-* #,##0_-;_-* "-"_-;_-@_-</c:formatCode>
                <c:ptCount val="12"/>
                <c:pt idx="0">
                  <c:v>1346700</c:v>
                </c:pt>
                <c:pt idx="1">
                  <c:v>1357000</c:v>
                </c:pt>
                <c:pt idx="2">
                  <c:v>1079000</c:v>
                </c:pt>
                <c:pt idx="3">
                  <c:v>809000</c:v>
                </c:pt>
                <c:pt idx="4">
                  <c:v>2564080</c:v>
                </c:pt>
                <c:pt idx="5">
                  <c:v>4807000</c:v>
                </c:pt>
                <c:pt idx="6">
                  <c:v>3356800</c:v>
                </c:pt>
                <c:pt idx="7">
                  <c:v>1972000</c:v>
                </c:pt>
                <c:pt idx="8">
                  <c:v>1780000</c:v>
                </c:pt>
                <c:pt idx="9">
                  <c:v>1835000</c:v>
                </c:pt>
                <c:pt idx="10">
                  <c:v>2337800</c:v>
                </c:pt>
                <c:pt idx="11">
                  <c:v>-2347000</c:v>
                </c:pt>
              </c:numCache>
            </c:numRef>
          </c:val>
        </c:ser>
        <c:ser>
          <c:idx val="14"/>
          <c:order val="14"/>
          <c:tx>
            <c:strRef>
              <c:f>Sheet4!$P$1:$P$2</c:f>
              <c:strCache>
                <c:ptCount val="1"/>
                <c:pt idx="0">
                  <c:v>운·발송비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Sheet4!$P$3:$P$15</c:f>
              <c:numCache>
                <c:formatCode>_-* #,##0_-;\-* #,##0_-;_-* "-"_-;_-@_-</c:formatCode>
                <c:ptCount val="12"/>
                <c:pt idx="0">
                  <c:v>74930</c:v>
                </c:pt>
                <c:pt idx="1">
                  <c:v>125960</c:v>
                </c:pt>
                <c:pt idx="2">
                  <c:v>73340</c:v>
                </c:pt>
                <c:pt idx="3">
                  <c:v>4340</c:v>
                </c:pt>
                <c:pt idx="4">
                  <c:v>85930</c:v>
                </c:pt>
                <c:pt idx="5">
                  <c:v>7850</c:v>
                </c:pt>
                <c:pt idx="6">
                  <c:v>25930</c:v>
                </c:pt>
                <c:pt idx="7">
                  <c:v>1840</c:v>
                </c:pt>
                <c:pt idx="8">
                  <c:v>25770</c:v>
                </c:pt>
                <c:pt idx="9">
                  <c:v>96260</c:v>
                </c:pt>
                <c:pt idx="10">
                  <c:v>20400</c:v>
                </c:pt>
                <c:pt idx="11">
                  <c:v>48310</c:v>
                </c:pt>
              </c:numCache>
            </c:numRef>
          </c:val>
        </c:ser>
        <c:ser>
          <c:idx val="15"/>
          <c:order val="15"/>
          <c:tx>
            <c:strRef>
              <c:f>Sheet4!$Q$1:$Q$2</c:f>
              <c:strCache>
                <c:ptCount val="1"/>
                <c:pt idx="0">
                  <c:v>잡지출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Sheet4!$Q$3:$Q$15</c:f>
              <c:numCache>
                <c:formatCode>_-* #,##0_-;\-* #,##0_-;_-* "-"_-;_-@_-</c:formatCode>
                <c:ptCount val="12"/>
                <c:pt idx="0">
                  <c:v>19630</c:v>
                </c:pt>
              </c:numCache>
            </c:numRef>
          </c:val>
        </c:ser>
        <c:ser>
          <c:idx val="16"/>
          <c:order val="16"/>
          <c:tx>
            <c:strRef>
              <c:f>Sheet4!$R$1:$R$2</c:f>
              <c:strCache>
                <c:ptCount val="1"/>
                <c:pt idx="0">
                  <c:v>직책보조비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Sheet4!$R$3:$R$15</c:f>
              <c:numCache>
                <c:formatCode>_-* #,##0_-;\-* #,##0_-;_-* "-"_-;_-@_-</c:formatCode>
                <c:ptCount val="12"/>
                <c:pt idx="0">
                  <c:v>850000</c:v>
                </c:pt>
                <c:pt idx="1">
                  <c:v>850000</c:v>
                </c:pt>
                <c:pt idx="2">
                  <c:v>850000</c:v>
                </c:pt>
                <c:pt idx="3">
                  <c:v>850000</c:v>
                </c:pt>
                <c:pt idx="4">
                  <c:v>850000</c:v>
                </c:pt>
                <c:pt idx="5">
                  <c:v>850000</c:v>
                </c:pt>
                <c:pt idx="6">
                  <c:v>750000</c:v>
                </c:pt>
                <c:pt idx="7">
                  <c:v>850000</c:v>
                </c:pt>
                <c:pt idx="8">
                  <c:v>850000</c:v>
                </c:pt>
                <c:pt idx="9">
                  <c:v>850000</c:v>
                </c:pt>
                <c:pt idx="10">
                  <c:v>850000</c:v>
                </c:pt>
                <c:pt idx="11">
                  <c:v>850000</c:v>
                </c:pt>
              </c:numCache>
            </c:numRef>
          </c:val>
        </c:ser>
        <c:ser>
          <c:idx val="17"/>
          <c:order val="17"/>
          <c:tx>
            <c:strRef>
              <c:f>Sheet4!$S$1:$S$2</c:f>
              <c:strCache>
                <c:ptCount val="1"/>
                <c:pt idx="0">
                  <c:v>통신비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Sheet4!$S$3:$S$15</c:f>
              <c:numCache>
                <c:formatCode>_-* #,##0_-;\-* #,##0_-;_-* "-"_-;_-@_-</c:formatCode>
                <c:ptCount val="12"/>
                <c:pt idx="0">
                  <c:v>386460</c:v>
                </c:pt>
                <c:pt idx="1">
                  <c:v>45610</c:v>
                </c:pt>
                <c:pt idx="2">
                  <c:v>14150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181540</c:v>
                </c:pt>
                <c:pt idx="8">
                  <c:v>623280</c:v>
                </c:pt>
                <c:pt idx="9">
                  <c:v>-7140</c:v>
                </c:pt>
                <c:pt idx="10">
                  <c:v>259710</c:v>
                </c:pt>
                <c:pt idx="11">
                  <c:v>566190</c:v>
                </c:pt>
              </c:numCache>
            </c:numRef>
          </c:val>
        </c:ser>
        <c:ser>
          <c:idx val="18"/>
          <c:order val="18"/>
          <c:tx>
            <c:strRef>
              <c:f>Sheet4!$T$1:$T$2</c:f>
              <c:strCache>
                <c:ptCount val="1"/>
                <c:pt idx="0">
                  <c:v>퇴직급여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Sheet4!$T$3:$T$15</c:f>
              <c:numCache>
                <c:formatCode>_-* #,##0_-;\-* #,##0_-;_-* "-"_-;_-@_-</c:formatCode>
                <c:ptCount val="12"/>
                <c:pt idx="11">
                  <c:v>56497350</c:v>
                </c:pt>
              </c:numCache>
            </c:numRef>
          </c:val>
        </c:ser>
        <c:ser>
          <c:idx val="19"/>
          <c:order val="19"/>
          <c:tx>
            <c:strRef>
              <c:f>Sheet4!$U$1:$U$2</c:f>
              <c:strCache>
                <c:ptCount val="1"/>
                <c:pt idx="0">
                  <c:v>회의비</c:v>
                </c:pt>
              </c:strCache>
            </c:strRef>
          </c:tx>
          <c:cat>
            <c:strRef>
              <c:f>Sheet4!$A$3:$A$15</c:f>
              <c:strCache>
                <c:ptCount val="12"/>
                <c:pt idx="0">
                  <c:v>1월</c:v>
                </c:pt>
                <c:pt idx="1">
                  <c:v>2월</c:v>
                </c:pt>
                <c:pt idx="2">
                  <c:v>3월</c:v>
                </c:pt>
                <c:pt idx="3">
                  <c:v>4월</c:v>
                </c:pt>
                <c:pt idx="4">
                  <c:v>5월</c:v>
                </c:pt>
                <c:pt idx="5">
                  <c:v>6월</c:v>
                </c:pt>
                <c:pt idx="6">
                  <c:v>7월</c:v>
                </c:pt>
                <c:pt idx="7">
                  <c:v>8월</c:v>
                </c:pt>
                <c:pt idx="8">
                  <c:v>9월</c:v>
                </c:pt>
                <c:pt idx="9">
                  <c:v>10월</c:v>
                </c:pt>
                <c:pt idx="10">
                  <c:v>11월</c:v>
                </c:pt>
                <c:pt idx="11">
                  <c:v>12월</c:v>
                </c:pt>
              </c:strCache>
            </c:strRef>
          </c:cat>
          <c:val>
            <c:numRef>
              <c:f>Sheet4!$U$3:$U$15</c:f>
              <c:numCache>
                <c:formatCode>_-* #,##0_-;\-* #,##0_-;_-* "-"_-;_-@_-</c:formatCode>
                <c:ptCount val="12"/>
                <c:pt idx="1">
                  <c:v>382130</c:v>
                </c:pt>
                <c:pt idx="5">
                  <c:v>373650</c:v>
                </c:pt>
                <c:pt idx="8">
                  <c:v>75260</c:v>
                </c:pt>
                <c:pt idx="10">
                  <c:v>808670</c:v>
                </c:pt>
                <c:pt idx="11">
                  <c:v>-700</c:v>
                </c:pt>
              </c:numCache>
            </c:numRef>
          </c:val>
        </c:ser>
        <c:marker val="1"/>
        <c:axId val="120649600"/>
        <c:axId val="120651136"/>
      </c:lineChart>
      <c:catAx>
        <c:axId val="120649600"/>
        <c:scaling>
          <c:orientation val="minMax"/>
        </c:scaling>
        <c:axPos val="b"/>
        <c:tickLblPos val="nextTo"/>
        <c:crossAx val="120651136"/>
        <c:crosses val="autoZero"/>
        <c:auto val="1"/>
        <c:lblAlgn val="ctr"/>
        <c:lblOffset val="100"/>
      </c:catAx>
      <c:valAx>
        <c:axId val="120651136"/>
        <c:scaling>
          <c:orientation val="minMax"/>
        </c:scaling>
        <c:axPos val="l"/>
        <c:majorGridlines/>
        <c:numFmt formatCode="_-* #,##0_-;\-* #,##0_-;_-* &quot;-&quot;_-;_-@_-" sourceLinked="1"/>
        <c:tickLblPos val="nextTo"/>
        <c:crossAx val="1206496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57149</xdr:rowOff>
    </xdr:from>
    <xdr:to>
      <xdr:col>5</xdr:col>
      <xdr:colOff>942974</xdr:colOff>
      <xdr:row>45</xdr:row>
      <xdr:rowOff>47625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gm\c\&#44608;&#47928;&#44508;\&#51088;&#44552;20&#44592;&#44208;&#49328;\20&#44592;&#44228;&#51221;&#47749;&#49464;\MSOffice\Excel\&#51060;&#54952;&#49453;\&#47564;&#44592;&#50696;&#44552;\&#47564;&#44592;07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29;&#47924;(E_Jung)\&#54924;&#44228;&#44048;&#49324;\PJ&#51204;&#51088;\2005&#45380;\&#51473;&#44036;&#44048;&#49324;,&#48516;&#44592;&#44160;&#53664;_3&#48516;&#44592;\PJ&#51204;&#51088;\&#48152;&#44592;\2005.6.30%20leadschedu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(E_Jung)/&#54924;&#44228;&#44048;&#49324;/PJ&#51204;&#51088;/2005&#45380;/&#51473;&#44036;&#44048;&#49324;,&#48516;&#44592;&#44160;&#53664;_3&#48516;&#44592;/PJ&#51204;&#51088;/&#48152;&#44592;/2005.6.30%20leadschedu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23%20&#50808;&#54868;&#50696;&#44552;&#54872;&#49328;&#51032;%20&#50892;&#53356;&#49884;&#53944;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140%20&#48120;&#49688;&#49688;&#51061;&#44228;&#49328;&#51032;%20&#50892;&#53356;&#49884;&#53944;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job\&#44048;&#49324;'02\&#49457;&#51648;&#44148;&#49444;\&#49457;&#51648;&#44148;&#49444;'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job/&#44048;&#49324;'02/&#49457;&#51648;&#44148;&#49444;/&#49457;&#51648;&#44148;&#49444;'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My%20Documents\Lead_Overall%20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5720%20&#50976;&#54805;&#51088;&#49328;&#47532;&#46300;&#51032;%20&#50892;&#53356;&#49884;&#53944;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20%20&#54788;&#44552;,&#50696;&#44552;&#47749;&#49464;&#49436;&#51032;%20&#50892;&#53356;&#49884;&#53944;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312;&#51333;&#50689;3\&#44048;&#49324;&#48372;&#44256;&#49436;\97%20Draft\KET\&#49340;&#54868;9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8120;&#46976;\&#51076;&#49884;\&#48120;&#49688;&#49688;&#5106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job\&#44048;&#49324;'01\&#45349;&#49468;&#53440;&#51060;&#50612;\&#51088;&#49328;&#47749;&#49464;&#4943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job/&#44048;&#49324;'01/&#45349;&#49468;&#53440;&#51060;&#50612;/&#51088;&#49328;&#47749;&#49464;&#4943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\98&#44048;&#49324;\&#50500;&#45224;&#44148;&#49444;\98&#47749;&#49464;\ACE\&#51228;&#51312;&#50896;&#4403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jk/2010&#45380;-2/&#50668;&#49457;&#51116;&#45800;%20&#54924;&#44228;&#44048;&#49324;/audit/2009&#45380;/&#44592;&#47568;&#44048;&#49324;/&#54620;&#44397;&#50668;&#49457;&#51116;&#45800;/&#50668;&#49457;&#51116;&#45800;%20&#48372;&#44256;&#49436;%20&#51089;&#50629;/(&#51116;)&#54620;&#44397;&#50668;&#49457;&#51116;&#45800;-leadschedule(2008.12.31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/Documents/&#44608;&#48337;&#51452;/&#44048;&#49324;%20&#48143;%20&#44160;&#53664;/2011/&#52856;&#49436;&#49828;&#54028;&#53944;&#45320;&#49828;(&#51452;)/(&#51452;)&#52856;&#49436;&#49828;&#54028;&#53944;&#45320;&#49828;_LeadSchedule(2011)%20-%20kbj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&#51109;&#48512;&#50896;&#51109;/2011&#45380;%20&#44228;&#51221;&#48324;&#50896;&#5110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312;&#51333;&#50689;3/&#44048;&#49324;&#48372;&#44256;&#49436;/97%20Draft/KET/&#49340;&#54868;9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&#50928;&#49828;&#48652;&#47551;&#51648;/2010&#45380;%20&#51473;&#44036;&#44048;&#49324;/&#54924;&#49324;%20&#51088;&#47308;/&#50629;&#47924;&#44288;&#47144;/&#44208;&#49328;%20&#48143;%20&#54924;&#44228;&#44048;&#49324;%20&#44288;&#47144;/2010&#45380;%203&#48516;&#44592;&#44208;&#49328;/&#50629;&#47924;&#44288;&#47144;/&#44208;&#49328;%20&#48143;%20&#54924;&#44228;&#44048;&#49324;%20&#44288;&#47144;/2010&#45380;%203&#48516;&#44592;&#44208;&#49328;/&#50629;&#47924;&#44288;&#47144;/&#44208;&#49328;%20&#48143;%20&#54924;&#44228;&#44048;&#49324;%20&#44288;&#47144;/&#44208;&#49328;%20&#48143;%20&#54924;&#44228;&#44048;&#49324;%20&#44288;&#47144;&#51088;&#47308;/&#50629;&#47924;&#44288;&#47144;/&#49324;&#52292;/&#50629;&#47924;&#44288;&#47144;/&#44208;&#49328;%20&#48143;%20&#54924;&#44228;&#44048;&#49324;%20&#44288;&#47144;/&#44208;&#49328;%20&#48143;%20&#54924;&#44228;&#44048;&#49324;%20&#44288;&#47144;&#51088;&#47308;/2008&#45380;%20&#44208;&#49328;&#51088;&#47308;/BOND/2006%20&#44208;&#49328;/2007&#45380;/2007&#45380;%203&#48516;&#44592;/BOND/&#51652;&#54868;BABO/BEH/&#47749;&#49464;&#49436;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443\d\OTHER\96&#48152;&#44592;~1\6M\PUBLIC\FS9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EEJUN~1\LOCALS~1\Temp\&#49569;&#44552;&#51613;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EEJUN~1/LOCALS~1/Temp/&#49569;&#44552;&#51613;-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만기"/>
      <sheetName val="99발견사항"/>
      <sheetName val="발견사항"/>
      <sheetName val="wbs"/>
      <sheetName val="wpl"/>
      <sheetName val="대차대조표"/>
      <sheetName val="손익계산서"/>
      <sheetName val="정산표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Sheet3"/>
      <sheetName val="Sheet2"/>
      <sheetName val="Sheet1"/>
      <sheetName val="수정분개"/>
      <sheetName val="대차"/>
      <sheetName val="손익"/>
      <sheetName val="잉여금"/>
      <sheetName val="현금흐름표"/>
      <sheetName val="현금흐름표검증조서"/>
      <sheetName val="만기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2005환율"/>
      <sheetName val="연도별환율"/>
      <sheetName val="bs"/>
      <sheetName val="pl"/>
      <sheetName val="tb"/>
      <sheetName val="cost"/>
      <sheetName val="PJ전자재무제표-37기"/>
      <sheetName val="회사제시IS"/>
      <sheetName val="회사제시BS"/>
      <sheetName val="수정사항집계"/>
      <sheetName val="2.4 현금정산표"/>
      <sheetName val="1.4현금정산표"/>
      <sheetName val="현금예금"/>
      <sheetName val="매출채권"/>
      <sheetName val="재고자산"/>
      <sheetName val="유가증권"/>
      <sheetName val="지분법평가(작년)"/>
      <sheetName val="BS (HK)"/>
      <sheetName val="IS(HK)"/>
      <sheetName val="기타유동자산"/>
      <sheetName val="단기대여금정리"/>
      <sheetName val="투자자산"/>
      <sheetName val="유형자산"/>
      <sheetName val="감가상각비 Overall Test"/>
      <sheetName val="무형자산"/>
      <sheetName val="매입채무"/>
      <sheetName val="장단기차입금"/>
      <sheetName val="무역금융"/>
      <sheetName val="명세"/>
      <sheetName val="기타유동부채"/>
      <sheetName val="기타고정부채"/>
      <sheetName val="퇴직급여충당금"/>
      <sheetName val="퇴충Overall Test"/>
      <sheetName val="자본"/>
      <sheetName val="매출"/>
      <sheetName val="매출원가"/>
      <sheetName val="판매비와관리비"/>
      <sheetName val="급여"/>
      <sheetName val="영업외수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2005환율"/>
      <sheetName val="연도별환율"/>
      <sheetName val="bs"/>
      <sheetName val="pl"/>
      <sheetName val="tb"/>
      <sheetName val="cost"/>
      <sheetName val="PJ전자재무제표-37기"/>
      <sheetName val="회사제시IS"/>
      <sheetName val="회사제시BS"/>
      <sheetName val="수정사항집계"/>
      <sheetName val="2.4 현금정산표"/>
      <sheetName val="1.4현금정산표"/>
      <sheetName val="현금예금"/>
      <sheetName val="매출채권"/>
      <sheetName val="재고자산"/>
      <sheetName val="유가증권"/>
      <sheetName val="지분법평가(작년)"/>
      <sheetName val="BS (HK)"/>
      <sheetName val="IS(HK)"/>
      <sheetName val="기타유동자산"/>
      <sheetName val="단기대여금정리"/>
      <sheetName val="투자자산"/>
      <sheetName val="유형자산"/>
      <sheetName val="감가상각비 Overall Test"/>
      <sheetName val="무형자산"/>
      <sheetName val="매입채무"/>
      <sheetName val="장단기차입금"/>
      <sheetName val="무역금융"/>
      <sheetName val="명세"/>
      <sheetName val="기타유동부채"/>
      <sheetName val="기타고정부채"/>
      <sheetName val="퇴직급여충당금"/>
      <sheetName val="퇴충Overall Test"/>
      <sheetName val="자본"/>
      <sheetName val="매출"/>
      <sheetName val="매출원가"/>
      <sheetName val="판매비와관리비"/>
      <sheetName val="급여"/>
      <sheetName val="영업외수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외화예금환산"/>
      <sheetName val="XREF"/>
      <sheetName val="Tickmarks"/>
      <sheetName val="감가상각비 Overall Test"/>
    </sheetNames>
    <sheetDataSet>
      <sheetData sheetId="0">
        <row r="6">
          <cell r="D6" t="str">
            <v>기말환산액</v>
          </cell>
        </row>
      </sheetData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유효이자"/>
      <sheetName val="미수이자"/>
      <sheetName val="XREF"/>
      <sheetName val="Tickmarks"/>
      <sheetName val="R(BS-PL-RE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현금및현금등가물"/>
      <sheetName val="단기금융상품"/>
      <sheetName val="TOT (2)"/>
      <sheetName val="외화환산"/>
      <sheetName val="후순위채권평가 (2)"/>
      <sheetName val="Tick Mark"/>
      <sheetName val="Tick Explanation"/>
      <sheetName val="TOT"/>
      <sheetName val="job"/>
      <sheetName val="현금"/>
      <sheetName val="유가증권"/>
      <sheetName val="기타유동"/>
      <sheetName val="단기대여금"/>
      <sheetName val="대손검토"/>
      <sheetName val="미수금"/>
      <sheetName val="미수수익"/>
      <sheetName val="유효이자"/>
      <sheetName val="미수이자"/>
      <sheetName val="선급금"/>
      <sheetName val="선급비용"/>
      <sheetName val="선급실업보험"/>
      <sheetName val="선급법인세"/>
      <sheetName val="매입채무"/>
      <sheetName val="차입금"/>
      <sheetName val="기타유동부채"/>
      <sheetName val="고정부채"/>
      <sheetName val="영업외수익"/>
      <sheetName val="이자수익"/>
      <sheetName val="영업외비용"/>
      <sheetName val="이자비용Overall"/>
      <sheetName val="할인차금상각"/>
      <sheetName val="하자보수"/>
      <sheetName val="하자보수충당금"/>
      <sheetName val="Sheet1 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현금및현금등가물"/>
      <sheetName val="단기금융상품"/>
      <sheetName val="TOT (2)"/>
      <sheetName val="외화환산"/>
      <sheetName val="후순위채권평가 (2)"/>
      <sheetName val="Tick Mark"/>
      <sheetName val="Tick Explanation"/>
      <sheetName val="TOT"/>
      <sheetName val="job"/>
      <sheetName val="현금"/>
      <sheetName val="유가증권"/>
      <sheetName val="기타유동"/>
      <sheetName val="단기대여금"/>
      <sheetName val="대손검토"/>
      <sheetName val="미수금"/>
      <sheetName val="미수수익"/>
      <sheetName val="유효이자"/>
      <sheetName val="미수이자"/>
      <sheetName val="선급금"/>
      <sheetName val="선급비용"/>
      <sheetName val="선급실업보험"/>
      <sheetName val="선급법인세"/>
      <sheetName val="매입채무"/>
      <sheetName val="차입금"/>
      <sheetName val="기타유동부채"/>
      <sheetName val="고정부채"/>
      <sheetName val="영업외수익"/>
      <sheetName val="이자수익"/>
      <sheetName val="영업외비용"/>
      <sheetName val="이자비용Overall"/>
      <sheetName val="할인차금상각"/>
      <sheetName val="하자보수"/>
      <sheetName val="하자보수충당금"/>
      <sheetName val="Sheet1 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감가상각비 Overall Test"/>
      <sheetName val="퇴충Overall Test"/>
      <sheetName val="미수수익"/>
      <sheetName val="이자비용Overall"/>
      <sheetName val="Sheet2"/>
      <sheetName val="Sheet3"/>
      <sheetName val="#REF"/>
    </sheetNames>
    <sheetDataSet>
      <sheetData sheetId="0"/>
      <sheetData sheetId="1" refreshError="1">
        <row r="26">
          <cell r="D26">
            <v>0</v>
          </cell>
          <cell r="F26">
            <v>0</v>
          </cell>
        </row>
      </sheetData>
      <sheetData sheetId="2"/>
      <sheetData sheetId="3"/>
      <sheetData sheetId="4">
        <row r="30">
          <cell r="C30" t="str">
            <v>장기차입금</v>
          </cell>
        </row>
      </sheetData>
      <sheetData sheetId="5"/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리드"/>
      <sheetName val="유형 분석적 검토"/>
      <sheetName val="XREF"/>
      <sheetName val="Tickmarks"/>
      <sheetName val="미수이자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현금과예금"/>
      <sheetName val="XREF"/>
      <sheetName val="Tickmarks "/>
    </sheetNames>
    <sheetDataSet>
      <sheetData sheetId="0"/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퇴직급여02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정기예금"/>
      <sheetName val="정기적금"/>
      <sheetName val="퇴직신탁"/>
      <sheetName val="당좌개설보증금"/>
      <sheetName val="유가증권"/>
      <sheetName val="상품수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받을어음"/>
      <sheetName val="단기대여금&amp;주임종단기대여금"/>
      <sheetName val="미수금"/>
      <sheetName val="미수수익"/>
      <sheetName val="미착원재료"/>
      <sheetName val="선급금&amp;지사관리비"/>
      <sheetName val="선급비용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받을어음"/>
      <sheetName val="단기대여금&amp;주임종단기대여금"/>
      <sheetName val="미수금"/>
      <sheetName val="미수수익"/>
      <sheetName val="미착원재료"/>
      <sheetName val="선급금&amp;지사관리비"/>
      <sheetName val="선급비용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CCOUNT"/>
      <sheetName val="현장CODE"/>
      <sheetName val="1.pro에서값복사"/>
      <sheetName val="2.1에서식연결"/>
      <sheetName val="1.외주공사"/>
      <sheetName val="2.직영공사"/>
      <sheetName val="3.제조원가 (결합))"/>
      <sheetName val=" 당기총원가"/>
      <sheetName val="Sheet11"/>
      <sheetName val="Sheet12"/>
      <sheetName val="Sheet13"/>
      <sheetName val="Sheet14"/>
      <sheetName val="1의전체연결"/>
      <sheetName val="Sheet15"/>
      <sheetName val="Sheet16"/>
      <sheetName val="생"/>
    </sheetNames>
    <sheetDataSet>
      <sheetData sheetId="0"/>
      <sheetData sheetId="1"/>
      <sheetData sheetId="2"/>
      <sheetData sheetId="3"/>
      <sheetData sheetId="4"/>
      <sheetData sheetId="5">
        <row r="4">
          <cell r="B4" t="str">
            <v>계정과목</v>
          </cell>
          <cell r="C4" t="str">
            <v>원주재개발조합</v>
          </cell>
          <cell r="D4" t="str">
            <v>의정부재건축</v>
          </cell>
          <cell r="E4" t="str">
            <v>덕천동조합</v>
          </cell>
          <cell r="F4" t="str">
            <v>동두천주공</v>
          </cell>
          <cell r="G4" t="str">
            <v>울산달동오피스</v>
          </cell>
          <cell r="H4" t="str">
            <v>CCK군산지붕벽체</v>
          </cell>
          <cell r="I4" t="str">
            <v>광양제철</v>
          </cell>
          <cell r="J4" t="str">
            <v>아남산업광주1차</v>
          </cell>
          <cell r="K4" t="str">
            <v>수서한전</v>
          </cell>
          <cell r="L4" t="str">
            <v>FED방벽설치</v>
          </cell>
          <cell r="M4" t="str">
            <v>아남산업새마을금고</v>
          </cell>
          <cell r="N4" t="str">
            <v>부천신용금고</v>
          </cell>
          <cell r="O4" t="str">
            <v>아남산업용인</v>
          </cell>
          <cell r="P4" t="str">
            <v>FED의정부사병숙소</v>
          </cell>
          <cell r="Q4" t="str">
            <v>아남산업부천</v>
          </cell>
          <cell r="R4" t="str">
            <v>제주3공구</v>
          </cell>
          <cell r="S4" t="str">
            <v>FED평택크럽보수</v>
          </cell>
          <cell r="T4" t="str">
            <v>중마공유수면매립</v>
          </cell>
          <cell r="U4" t="str">
            <v>광주제2순환도로</v>
          </cell>
          <cell r="V4" t="str">
            <v>아남산업광주2차</v>
          </cell>
          <cell r="W4" t="str">
            <v>제주6공구</v>
          </cell>
          <cell r="X4" t="str">
            <v>포항제7매립장</v>
          </cell>
          <cell r="Y4" t="str">
            <v>아남환경포항SHOT</v>
          </cell>
          <cell r="Z4" t="str">
            <v>포항제10매립장</v>
          </cell>
          <cell r="AA4" t="str">
            <v>서산전화국</v>
          </cell>
          <cell r="AB4" t="str">
            <v>광주제2순환도로접속</v>
          </cell>
          <cell r="AC4" t="str">
            <v>포항제11매립장</v>
          </cell>
          <cell r="AD4" t="str">
            <v>포항차단형매립</v>
          </cell>
          <cell r="AE4" t="str">
            <v>포항제11-1매립장</v>
          </cell>
          <cell r="AF4" t="str">
            <v>포항수고절개지복구</v>
          </cell>
          <cell r="AG4" t="str">
            <v>경원선2-1공구</v>
          </cell>
          <cell r="AH4" t="str">
            <v>베트남</v>
          </cell>
          <cell r="AI4" t="str">
            <v>FED평택혈액원창고</v>
          </cell>
          <cell r="AJ4" t="str">
            <v>FED평택병원창고보수</v>
          </cell>
          <cell r="AK4" t="str">
            <v>FED평택사회복지관</v>
          </cell>
          <cell r="AL4" t="str">
            <v>FED용산사병숙소</v>
          </cell>
          <cell r="AM4" t="str">
            <v>CCK평택건물보수</v>
          </cell>
          <cell r="AN4" t="str">
            <v>계</v>
          </cell>
        </row>
        <row r="5">
          <cell r="C5" t="str">
            <v>A9404</v>
          </cell>
          <cell r="D5" t="str">
            <v>A9405</v>
          </cell>
          <cell r="E5" t="str">
            <v>A9406</v>
          </cell>
          <cell r="F5" t="str">
            <v>A9414</v>
          </cell>
          <cell r="G5" t="str">
            <v>A9420</v>
          </cell>
          <cell r="H5" t="str">
            <v>A9505</v>
          </cell>
          <cell r="I5" t="str">
            <v>A9509</v>
          </cell>
          <cell r="J5" t="str">
            <v>A9510</v>
          </cell>
          <cell r="K5" t="str">
            <v>A9511</v>
          </cell>
          <cell r="L5" t="str">
            <v>A9514</v>
          </cell>
          <cell r="M5" t="str">
            <v>A9515</v>
          </cell>
          <cell r="N5" t="str">
            <v>A9601</v>
          </cell>
          <cell r="O5" t="str">
            <v>A9602</v>
          </cell>
          <cell r="P5" t="str">
            <v>A9603</v>
          </cell>
          <cell r="Q5" t="str">
            <v>A9604</v>
          </cell>
          <cell r="R5" t="str">
            <v>A9607</v>
          </cell>
          <cell r="S5" t="str">
            <v>A9609</v>
          </cell>
          <cell r="T5" t="str">
            <v>A9614</v>
          </cell>
          <cell r="U5" t="str">
            <v>A9615</v>
          </cell>
          <cell r="V5" t="str">
            <v>A9620</v>
          </cell>
          <cell r="W5" t="str">
            <v>A9621</v>
          </cell>
          <cell r="X5" t="str">
            <v>A9622</v>
          </cell>
          <cell r="Y5" t="str">
            <v>AA701</v>
          </cell>
          <cell r="Z5" t="str">
            <v>AA702</v>
          </cell>
          <cell r="AA5" t="str">
            <v>AA703</v>
          </cell>
          <cell r="AB5" t="str">
            <v>AA704</v>
          </cell>
          <cell r="AC5" t="str">
            <v>AA705</v>
          </cell>
          <cell r="AD5" t="str">
            <v>AA706</v>
          </cell>
          <cell r="AE5" t="str">
            <v>AA707</v>
          </cell>
          <cell r="AF5" t="str">
            <v>AA708</v>
          </cell>
          <cell r="AG5" t="str">
            <v>AA710</v>
          </cell>
          <cell r="AH5" t="str">
            <v>AC517</v>
          </cell>
          <cell r="AI5" t="str">
            <v>AF701</v>
          </cell>
          <cell r="AJ5" t="str">
            <v>AF702</v>
          </cell>
          <cell r="AK5" t="str">
            <v>AF703</v>
          </cell>
          <cell r="AL5" t="str">
            <v>AF704</v>
          </cell>
          <cell r="AM5" t="str">
            <v>AF705</v>
          </cell>
        </row>
        <row r="7">
          <cell r="B7" t="str">
            <v>재료비</v>
          </cell>
          <cell r="C7">
            <v>0</v>
          </cell>
          <cell r="D7">
            <v>1209367759</v>
          </cell>
          <cell r="E7">
            <v>2757414049</v>
          </cell>
          <cell r="F7">
            <v>559211</v>
          </cell>
          <cell r="G7">
            <v>63922</v>
          </cell>
          <cell r="H7">
            <v>23824000</v>
          </cell>
          <cell r="I7">
            <v>29249319</v>
          </cell>
          <cell r="J7">
            <v>0</v>
          </cell>
          <cell r="K7">
            <v>17458963</v>
          </cell>
          <cell r="L7">
            <v>8253560</v>
          </cell>
          <cell r="M7">
            <v>0</v>
          </cell>
          <cell r="N7">
            <v>711601779</v>
          </cell>
          <cell r="O7">
            <v>138827833</v>
          </cell>
          <cell r="P7">
            <v>1391890066</v>
          </cell>
          <cell r="Q7">
            <v>20860101061</v>
          </cell>
          <cell r="R7">
            <v>3775373239</v>
          </cell>
          <cell r="S7">
            <v>39414112</v>
          </cell>
          <cell r="T7">
            <v>56702230</v>
          </cell>
          <cell r="U7">
            <v>43766445</v>
          </cell>
          <cell r="V7">
            <v>3892590371</v>
          </cell>
          <cell r="W7">
            <v>3179591677</v>
          </cell>
          <cell r="X7">
            <v>329918</v>
          </cell>
          <cell r="Y7">
            <v>44924758</v>
          </cell>
          <cell r="Z7">
            <v>0</v>
          </cell>
          <cell r="AA7">
            <v>82086328</v>
          </cell>
          <cell r="AB7">
            <v>0</v>
          </cell>
          <cell r="AC7">
            <v>0</v>
          </cell>
          <cell r="AD7">
            <v>0</v>
          </cell>
          <cell r="AE7">
            <v>203105</v>
          </cell>
          <cell r="AF7">
            <v>0</v>
          </cell>
          <cell r="AG7">
            <v>0</v>
          </cell>
          <cell r="AH7">
            <v>0</v>
          </cell>
          <cell r="AI7">
            <v>21444675</v>
          </cell>
          <cell r="AJ7">
            <v>296485319</v>
          </cell>
          <cell r="AK7">
            <v>1129418085</v>
          </cell>
          <cell r="AL7">
            <v>440044858</v>
          </cell>
          <cell r="AM7">
            <v>3128361</v>
          </cell>
          <cell r="AN7">
            <v>40154115003</v>
          </cell>
        </row>
        <row r="8">
          <cell r="B8" t="str">
            <v>노무비</v>
          </cell>
          <cell r="C8">
            <v>430000</v>
          </cell>
          <cell r="D8">
            <v>215095000</v>
          </cell>
          <cell r="E8">
            <v>219110000</v>
          </cell>
          <cell r="F8">
            <v>5705000</v>
          </cell>
          <cell r="G8">
            <v>920000</v>
          </cell>
          <cell r="H8">
            <v>24377500</v>
          </cell>
          <cell r="I8">
            <v>437580000</v>
          </cell>
          <cell r="J8">
            <v>0</v>
          </cell>
          <cell r="K8">
            <v>0</v>
          </cell>
          <cell r="L8">
            <v>2995000</v>
          </cell>
          <cell r="M8">
            <v>0</v>
          </cell>
          <cell r="N8">
            <v>72390000</v>
          </cell>
          <cell r="O8">
            <v>55882000</v>
          </cell>
          <cell r="P8">
            <v>1252988930</v>
          </cell>
          <cell r="Q8">
            <v>1615725500</v>
          </cell>
          <cell r="R8">
            <v>745374461</v>
          </cell>
          <cell r="S8">
            <v>40480000</v>
          </cell>
          <cell r="T8">
            <v>73680118</v>
          </cell>
          <cell r="U8">
            <v>8692848</v>
          </cell>
          <cell r="V8">
            <v>338928000</v>
          </cell>
          <cell r="W8">
            <v>459387000</v>
          </cell>
          <cell r="X8">
            <v>9500000</v>
          </cell>
          <cell r="Y8">
            <v>20400000</v>
          </cell>
          <cell r="Z8">
            <v>0</v>
          </cell>
          <cell r="AA8">
            <v>39400000</v>
          </cell>
          <cell r="AB8">
            <v>0</v>
          </cell>
          <cell r="AC8">
            <v>0</v>
          </cell>
          <cell r="AD8">
            <v>0</v>
          </cell>
          <cell r="AE8">
            <v>2700000</v>
          </cell>
          <cell r="AF8">
            <v>0</v>
          </cell>
          <cell r="AG8">
            <v>0</v>
          </cell>
          <cell r="AH8">
            <v>0</v>
          </cell>
          <cell r="AI8">
            <v>73570000</v>
          </cell>
          <cell r="AJ8">
            <v>501979000</v>
          </cell>
          <cell r="AK8">
            <v>453573000</v>
          </cell>
          <cell r="AL8">
            <v>320255000</v>
          </cell>
          <cell r="AM8">
            <v>10050000</v>
          </cell>
          <cell r="AN8">
            <v>7001168357</v>
          </cell>
        </row>
        <row r="9">
          <cell r="B9" t="str">
            <v>급여</v>
          </cell>
          <cell r="C9">
            <v>7485010</v>
          </cell>
          <cell r="D9">
            <v>203930790</v>
          </cell>
          <cell r="E9">
            <v>288373080</v>
          </cell>
          <cell r="F9">
            <v>1986000</v>
          </cell>
          <cell r="G9">
            <v>14982040</v>
          </cell>
          <cell r="H9">
            <v>0</v>
          </cell>
          <cell r="I9">
            <v>123861890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150721500</v>
          </cell>
          <cell r="O9">
            <v>34614100</v>
          </cell>
          <cell r="P9">
            <v>90360000</v>
          </cell>
          <cell r="Q9">
            <v>391128540</v>
          </cell>
          <cell r="R9">
            <v>243126015</v>
          </cell>
          <cell r="S9">
            <v>0</v>
          </cell>
          <cell r="T9">
            <v>42460333</v>
          </cell>
          <cell r="U9">
            <v>24977175</v>
          </cell>
          <cell r="V9">
            <v>311717880</v>
          </cell>
          <cell r="W9">
            <v>241706050</v>
          </cell>
          <cell r="X9">
            <v>8628660</v>
          </cell>
          <cell r="Y9">
            <v>19876000</v>
          </cell>
          <cell r="Z9">
            <v>12488000</v>
          </cell>
          <cell r="AA9">
            <v>54638540</v>
          </cell>
          <cell r="AB9">
            <v>0</v>
          </cell>
          <cell r="AC9">
            <v>0</v>
          </cell>
          <cell r="AD9">
            <v>0</v>
          </cell>
          <cell r="AE9">
            <v>4679100</v>
          </cell>
          <cell r="AF9">
            <v>0</v>
          </cell>
          <cell r="AG9">
            <v>0</v>
          </cell>
          <cell r="AH9">
            <v>96657400</v>
          </cell>
          <cell r="AI9">
            <v>0</v>
          </cell>
          <cell r="AJ9">
            <v>0</v>
          </cell>
          <cell r="AK9">
            <v>33873500</v>
          </cell>
          <cell r="AL9">
            <v>34800000</v>
          </cell>
          <cell r="AM9">
            <v>0</v>
          </cell>
          <cell r="AN9">
            <v>2437071603</v>
          </cell>
        </row>
        <row r="10">
          <cell r="B10" t="str">
            <v>상여금</v>
          </cell>
          <cell r="C10">
            <v>0</v>
          </cell>
          <cell r="D10">
            <v>51496200</v>
          </cell>
          <cell r="E10">
            <v>66460750</v>
          </cell>
          <cell r="F10">
            <v>970200</v>
          </cell>
          <cell r="G10">
            <v>828800</v>
          </cell>
          <cell r="H10">
            <v>0</v>
          </cell>
          <cell r="I10">
            <v>29751100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39948100</v>
          </cell>
          <cell r="O10">
            <v>10242600</v>
          </cell>
          <cell r="P10">
            <v>0</v>
          </cell>
          <cell r="Q10">
            <v>114564600</v>
          </cell>
          <cell r="R10">
            <v>67392630</v>
          </cell>
          <cell r="S10">
            <v>0</v>
          </cell>
          <cell r="T10">
            <v>20888410</v>
          </cell>
          <cell r="U10">
            <v>6343803</v>
          </cell>
          <cell r="V10">
            <v>75286500</v>
          </cell>
          <cell r="W10">
            <v>65840310</v>
          </cell>
          <cell r="X10">
            <v>3304400</v>
          </cell>
          <cell r="Y10">
            <v>7821900</v>
          </cell>
          <cell r="Z10">
            <v>2062800</v>
          </cell>
          <cell r="AA10">
            <v>16096300</v>
          </cell>
          <cell r="AB10">
            <v>0</v>
          </cell>
          <cell r="AC10">
            <v>0</v>
          </cell>
          <cell r="AD10">
            <v>0</v>
          </cell>
          <cell r="AE10">
            <v>358400</v>
          </cell>
          <cell r="AF10">
            <v>0</v>
          </cell>
          <cell r="AG10">
            <v>0</v>
          </cell>
          <cell r="AH10">
            <v>18991800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598649603</v>
          </cell>
        </row>
        <row r="11">
          <cell r="B11" t="str">
            <v>퇴직급여</v>
          </cell>
          <cell r="C11">
            <v>0</v>
          </cell>
          <cell r="D11">
            <v>35503643</v>
          </cell>
          <cell r="E11">
            <v>45820833</v>
          </cell>
          <cell r="F11">
            <v>668897</v>
          </cell>
          <cell r="G11">
            <v>571410</v>
          </cell>
          <cell r="H11">
            <v>0</v>
          </cell>
          <cell r="I11">
            <v>20511658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27541898</v>
          </cell>
          <cell r="O11">
            <v>7061679</v>
          </cell>
          <cell r="P11">
            <v>0</v>
          </cell>
          <cell r="Q11">
            <v>78985647</v>
          </cell>
          <cell r="R11">
            <v>46463310</v>
          </cell>
          <cell r="S11">
            <v>0</v>
          </cell>
          <cell r="T11">
            <v>14401347</v>
          </cell>
          <cell r="U11">
            <v>4373684</v>
          </cell>
          <cell r="V11">
            <v>51905675</v>
          </cell>
          <cell r="W11">
            <v>45393075</v>
          </cell>
          <cell r="X11">
            <v>2278192</v>
          </cell>
          <cell r="Y11">
            <v>5392746</v>
          </cell>
          <cell r="Z11">
            <v>1422181</v>
          </cell>
          <cell r="AA11">
            <v>11097465</v>
          </cell>
          <cell r="AB11">
            <v>0</v>
          </cell>
          <cell r="AC11">
            <v>0</v>
          </cell>
          <cell r="AD11">
            <v>0</v>
          </cell>
          <cell r="AE11">
            <v>247096</v>
          </cell>
          <cell r="AF11">
            <v>0</v>
          </cell>
          <cell r="AG11">
            <v>0</v>
          </cell>
          <cell r="AH11">
            <v>13093745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412734181</v>
          </cell>
        </row>
        <row r="12">
          <cell r="B12" t="str">
            <v>외주비</v>
          </cell>
          <cell r="C12">
            <v>0</v>
          </cell>
          <cell r="D12">
            <v>2178536567</v>
          </cell>
          <cell r="E12">
            <v>8750024064</v>
          </cell>
          <cell r="F12">
            <v>120000000</v>
          </cell>
          <cell r="G12">
            <v>0</v>
          </cell>
          <cell r="H12">
            <v>0</v>
          </cell>
          <cell r="I12">
            <v>2410140230</v>
          </cell>
          <cell r="J12">
            <v>0</v>
          </cell>
          <cell r="K12">
            <v>908400000</v>
          </cell>
          <cell r="L12">
            <v>0</v>
          </cell>
          <cell r="M12">
            <v>509333000</v>
          </cell>
          <cell r="N12">
            <v>2980719400</v>
          </cell>
          <cell r="O12">
            <v>2306134500</v>
          </cell>
          <cell r="P12">
            <v>355922500</v>
          </cell>
          <cell r="Q12">
            <v>97641017320</v>
          </cell>
          <cell r="R12">
            <v>9180219464</v>
          </cell>
          <cell r="S12">
            <v>0</v>
          </cell>
          <cell r="T12">
            <v>725303517</v>
          </cell>
          <cell r="U12">
            <v>103780000</v>
          </cell>
          <cell r="V12">
            <v>25525682923</v>
          </cell>
          <cell r="W12">
            <v>7872006647</v>
          </cell>
          <cell r="X12">
            <v>815200000</v>
          </cell>
          <cell r="Y12">
            <v>1886188000</v>
          </cell>
          <cell r="Z12">
            <v>0</v>
          </cell>
          <cell r="AA12">
            <v>413900000</v>
          </cell>
          <cell r="AB12">
            <v>0</v>
          </cell>
          <cell r="AC12">
            <v>0</v>
          </cell>
          <cell r="AD12">
            <v>125000000</v>
          </cell>
          <cell r="AE12">
            <v>460105860</v>
          </cell>
          <cell r="AF12">
            <v>52000000</v>
          </cell>
          <cell r="AG12">
            <v>0</v>
          </cell>
          <cell r="AH12">
            <v>7439533031</v>
          </cell>
          <cell r="AI12">
            <v>0</v>
          </cell>
          <cell r="AJ12">
            <v>0</v>
          </cell>
          <cell r="AK12">
            <v>71000000</v>
          </cell>
          <cell r="AL12">
            <v>144597500</v>
          </cell>
          <cell r="AM12">
            <v>0</v>
          </cell>
          <cell r="AN12">
            <v>172974744523</v>
          </cell>
        </row>
        <row r="14">
          <cell r="B14" t="str">
            <v>(경 비)</v>
          </cell>
          <cell r="C14">
            <v>356719094</v>
          </cell>
          <cell r="D14">
            <v>845000538</v>
          </cell>
          <cell r="E14">
            <v>1452594647</v>
          </cell>
          <cell r="F14">
            <v>6758296</v>
          </cell>
          <cell r="G14">
            <v>8175397</v>
          </cell>
          <cell r="H14">
            <v>1485080</v>
          </cell>
          <cell r="I14">
            <v>119766673</v>
          </cell>
          <cell r="J14">
            <v>0</v>
          </cell>
          <cell r="K14">
            <v>11240124</v>
          </cell>
          <cell r="L14">
            <v>345840</v>
          </cell>
          <cell r="M14">
            <v>5189597</v>
          </cell>
          <cell r="N14">
            <v>334237299</v>
          </cell>
          <cell r="O14">
            <v>86586684</v>
          </cell>
          <cell r="P14">
            <v>226195535</v>
          </cell>
          <cell r="Q14">
            <v>2205621234</v>
          </cell>
          <cell r="R14">
            <v>1022374628</v>
          </cell>
          <cell r="S14">
            <v>1366360</v>
          </cell>
          <cell r="T14">
            <v>194509056</v>
          </cell>
          <cell r="U14">
            <v>119341030</v>
          </cell>
          <cell r="V14">
            <v>861299187</v>
          </cell>
          <cell r="W14">
            <v>773815993</v>
          </cell>
          <cell r="X14">
            <v>19657700</v>
          </cell>
          <cell r="Y14">
            <v>49493918</v>
          </cell>
          <cell r="Z14">
            <v>149228554</v>
          </cell>
          <cell r="AA14">
            <v>69552784</v>
          </cell>
          <cell r="AB14">
            <v>2381130</v>
          </cell>
          <cell r="AC14">
            <v>79216000</v>
          </cell>
          <cell r="AD14">
            <v>1577087</v>
          </cell>
          <cell r="AE14">
            <v>10786301</v>
          </cell>
          <cell r="AF14">
            <v>596680</v>
          </cell>
          <cell r="AG14">
            <v>5921890</v>
          </cell>
          <cell r="AH14">
            <v>4586444</v>
          </cell>
          <cell r="AI14">
            <v>18052460</v>
          </cell>
          <cell r="AJ14">
            <v>78852541</v>
          </cell>
          <cell r="AK14">
            <v>199832334</v>
          </cell>
          <cell r="AL14">
            <v>170111837</v>
          </cell>
          <cell r="AM14">
            <v>321600</v>
          </cell>
          <cell r="AN14">
            <v>9492791552</v>
          </cell>
        </row>
        <row r="15">
          <cell r="B15" t="str">
            <v>복리후생비</v>
          </cell>
          <cell r="C15">
            <v>2048270</v>
          </cell>
          <cell r="D15">
            <v>43130380</v>
          </cell>
          <cell r="E15">
            <v>65811990</v>
          </cell>
          <cell r="F15">
            <v>1456450</v>
          </cell>
          <cell r="G15">
            <v>1119500</v>
          </cell>
          <cell r="H15">
            <v>297500</v>
          </cell>
          <cell r="I15">
            <v>32214710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37481180</v>
          </cell>
          <cell r="O15">
            <v>11074420</v>
          </cell>
          <cell r="P15">
            <v>33513410</v>
          </cell>
          <cell r="Q15">
            <v>133763050</v>
          </cell>
          <cell r="R15">
            <v>77306448</v>
          </cell>
          <cell r="S15">
            <v>71000</v>
          </cell>
          <cell r="T15">
            <v>19339249</v>
          </cell>
          <cell r="U15">
            <v>16625487</v>
          </cell>
          <cell r="V15">
            <v>91342902</v>
          </cell>
          <cell r="W15">
            <v>65312733</v>
          </cell>
          <cell r="X15">
            <v>3014200</v>
          </cell>
          <cell r="Y15">
            <v>8437730</v>
          </cell>
          <cell r="Z15">
            <v>182100</v>
          </cell>
          <cell r="AA15">
            <v>12677140</v>
          </cell>
          <cell r="AB15">
            <v>0</v>
          </cell>
          <cell r="AC15">
            <v>0</v>
          </cell>
          <cell r="AD15">
            <v>0</v>
          </cell>
          <cell r="AE15">
            <v>1243370</v>
          </cell>
          <cell r="AF15">
            <v>0</v>
          </cell>
          <cell r="AG15">
            <v>0</v>
          </cell>
          <cell r="AH15">
            <v>909000</v>
          </cell>
          <cell r="AI15">
            <v>3592120</v>
          </cell>
          <cell r="AJ15">
            <v>8121580</v>
          </cell>
          <cell r="AK15">
            <v>11991250</v>
          </cell>
          <cell r="AL15">
            <v>2852590</v>
          </cell>
          <cell r="AM15">
            <v>0</v>
          </cell>
          <cell r="AN15">
            <v>684929759</v>
          </cell>
        </row>
        <row r="16">
          <cell r="B16" t="str">
            <v>여비교통비</v>
          </cell>
          <cell r="C16">
            <v>458710</v>
          </cell>
          <cell r="D16">
            <v>1303900</v>
          </cell>
          <cell r="E16">
            <v>2763600</v>
          </cell>
          <cell r="F16">
            <v>0</v>
          </cell>
          <cell r="G16">
            <v>0</v>
          </cell>
          <cell r="H16">
            <v>0</v>
          </cell>
          <cell r="I16">
            <v>1930600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999000</v>
          </cell>
          <cell r="O16">
            <v>322300</v>
          </cell>
          <cell r="P16">
            <v>0</v>
          </cell>
          <cell r="Q16">
            <v>4862300</v>
          </cell>
          <cell r="R16">
            <v>26492863</v>
          </cell>
          <cell r="S16">
            <v>0</v>
          </cell>
          <cell r="T16">
            <v>4112003</v>
          </cell>
          <cell r="U16">
            <v>1717264</v>
          </cell>
          <cell r="V16">
            <v>3373780</v>
          </cell>
          <cell r="W16">
            <v>26570160</v>
          </cell>
          <cell r="X16">
            <v>684800</v>
          </cell>
          <cell r="Y16">
            <v>1083100</v>
          </cell>
          <cell r="Z16">
            <v>0</v>
          </cell>
          <cell r="AA16">
            <v>315000</v>
          </cell>
          <cell r="AB16">
            <v>0</v>
          </cell>
          <cell r="AC16">
            <v>0</v>
          </cell>
          <cell r="AD16">
            <v>0</v>
          </cell>
          <cell r="AE16">
            <v>270800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191200</v>
          </cell>
          <cell r="AK16">
            <v>249400</v>
          </cell>
          <cell r="AL16">
            <v>0</v>
          </cell>
          <cell r="AM16">
            <v>0</v>
          </cell>
          <cell r="AN16">
            <v>77700780</v>
          </cell>
        </row>
        <row r="17">
          <cell r="B17" t="str">
            <v>통신비</v>
          </cell>
          <cell r="C17">
            <v>1262700</v>
          </cell>
          <cell r="D17">
            <v>4036990</v>
          </cell>
          <cell r="E17">
            <v>4130920</v>
          </cell>
          <cell r="F17">
            <v>88440</v>
          </cell>
          <cell r="G17">
            <v>56270</v>
          </cell>
          <cell r="H17">
            <v>0</v>
          </cell>
          <cell r="I17">
            <v>3614570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3314230</v>
          </cell>
          <cell r="O17">
            <v>1510520</v>
          </cell>
          <cell r="P17">
            <v>0</v>
          </cell>
          <cell r="Q17">
            <v>13097400</v>
          </cell>
          <cell r="R17">
            <v>8640102</v>
          </cell>
          <cell r="S17">
            <v>0</v>
          </cell>
          <cell r="T17">
            <v>3467587</v>
          </cell>
          <cell r="U17">
            <v>1198007</v>
          </cell>
          <cell r="V17">
            <v>12362110</v>
          </cell>
          <cell r="W17">
            <v>7571010</v>
          </cell>
          <cell r="X17">
            <v>214480</v>
          </cell>
          <cell r="Y17">
            <v>2266370</v>
          </cell>
          <cell r="Z17">
            <v>0</v>
          </cell>
          <cell r="AA17">
            <v>1159760</v>
          </cell>
          <cell r="AB17">
            <v>0</v>
          </cell>
          <cell r="AC17">
            <v>0</v>
          </cell>
          <cell r="AD17">
            <v>0</v>
          </cell>
          <cell r="AE17">
            <v>382020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21750</v>
          </cell>
          <cell r="AK17">
            <v>39350</v>
          </cell>
          <cell r="AL17">
            <v>378170</v>
          </cell>
          <cell r="AM17">
            <v>0</v>
          </cell>
          <cell r="AN17">
            <v>68812756</v>
          </cell>
        </row>
        <row r="18">
          <cell r="B18" t="str">
            <v>수도광열비</v>
          </cell>
          <cell r="C18">
            <v>529672</v>
          </cell>
          <cell r="D18">
            <v>96413879</v>
          </cell>
          <cell r="E18">
            <v>71588074</v>
          </cell>
          <cell r="F18">
            <v>3336576</v>
          </cell>
          <cell r="G18">
            <v>564760</v>
          </cell>
          <cell r="H18">
            <v>0</v>
          </cell>
          <cell r="I18">
            <v>1763518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18820270</v>
          </cell>
          <cell r="O18">
            <v>5939727</v>
          </cell>
          <cell r="P18">
            <v>0</v>
          </cell>
          <cell r="Q18">
            <v>257721184</v>
          </cell>
          <cell r="R18">
            <v>24652620</v>
          </cell>
          <cell r="S18">
            <v>0</v>
          </cell>
          <cell r="T18">
            <v>5458419</v>
          </cell>
          <cell r="U18">
            <v>1467078</v>
          </cell>
          <cell r="V18">
            <v>74477395</v>
          </cell>
          <cell r="W18">
            <v>13568657</v>
          </cell>
          <cell r="X18">
            <v>390909</v>
          </cell>
          <cell r="Y18">
            <v>0</v>
          </cell>
          <cell r="Z18">
            <v>0</v>
          </cell>
          <cell r="AA18">
            <v>5720034</v>
          </cell>
          <cell r="AB18">
            <v>0</v>
          </cell>
          <cell r="AC18">
            <v>0</v>
          </cell>
          <cell r="AD18">
            <v>0</v>
          </cell>
          <cell r="AE18">
            <v>700000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2347889</v>
          </cell>
          <cell r="AM18">
            <v>0</v>
          </cell>
          <cell r="AN18">
            <v>585460661</v>
          </cell>
        </row>
        <row r="19">
          <cell r="B19" t="str">
            <v>세금과공과</v>
          </cell>
          <cell r="C19">
            <v>8693210</v>
          </cell>
          <cell r="D19">
            <v>125562280</v>
          </cell>
          <cell r="E19">
            <v>218332500</v>
          </cell>
          <cell r="F19">
            <v>132854</v>
          </cell>
          <cell r="G19">
            <v>1478830</v>
          </cell>
          <cell r="H19">
            <v>0</v>
          </cell>
          <cell r="I19">
            <v>7302230</v>
          </cell>
          <cell r="J19">
            <v>0</v>
          </cell>
          <cell r="K19">
            <v>830000</v>
          </cell>
          <cell r="L19">
            <v>0</v>
          </cell>
          <cell r="M19">
            <v>300000</v>
          </cell>
          <cell r="N19">
            <v>5469200</v>
          </cell>
          <cell r="O19">
            <v>2649900</v>
          </cell>
          <cell r="P19">
            <v>2093400</v>
          </cell>
          <cell r="Q19">
            <v>31131350</v>
          </cell>
          <cell r="R19">
            <v>438777006</v>
          </cell>
          <cell r="S19">
            <v>0</v>
          </cell>
          <cell r="T19">
            <v>2654094</v>
          </cell>
          <cell r="U19">
            <v>1137672</v>
          </cell>
          <cell r="V19">
            <v>16117790</v>
          </cell>
          <cell r="W19">
            <v>335655315</v>
          </cell>
          <cell r="X19">
            <v>141200</v>
          </cell>
          <cell r="Y19">
            <v>2194200</v>
          </cell>
          <cell r="Z19">
            <v>190800</v>
          </cell>
          <cell r="AA19">
            <v>1316400</v>
          </cell>
          <cell r="AB19">
            <v>75000</v>
          </cell>
          <cell r="AC19">
            <v>0</v>
          </cell>
          <cell r="AD19">
            <v>150000</v>
          </cell>
          <cell r="AE19">
            <v>400000</v>
          </cell>
          <cell r="AF19">
            <v>0</v>
          </cell>
          <cell r="AG19">
            <v>0</v>
          </cell>
          <cell r="AH19">
            <v>1458400</v>
          </cell>
          <cell r="AI19">
            <v>0</v>
          </cell>
          <cell r="AJ19">
            <v>0</v>
          </cell>
          <cell r="AK19">
            <v>466000</v>
          </cell>
          <cell r="AL19">
            <v>482800</v>
          </cell>
          <cell r="AM19">
            <v>0</v>
          </cell>
          <cell r="AN19">
            <v>1205192431</v>
          </cell>
        </row>
        <row r="20">
          <cell r="B20" t="str">
            <v>지급임차료</v>
          </cell>
          <cell r="C20">
            <v>0</v>
          </cell>
          <cell r="D20">
            <v>82630000</v>
          </cell>
          <cell r="E20">
            <v>150280000</v>
          </cell>
          <cell r="F20">
            <v>0</v>
          </cell>
          <cell r="G20">
            <v>1200000</v>
          </cell>
          <cell r="H20">
            <v>250000</v>
          </cell>
          <cell r="I20">
            <v>19560000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156869398</v>
          </cell>
          <cell r="O20">
            <v>3510000</v>
          </cell>
          <cell r="P20">
            <v>98959153</v>
          </cell>
          <cell r="Q20">
            <v>168639108</v>
          </cell>
          <cell r="R20">
            <v>96812765</v>
          </cell>
          <cell r="S20">
            <v>0</v>
          </cell>
          <cell r="T20">
            <v>22254132</v>
          </cell>
          <cell r="U20">
            <v>53328309</v>
          </cell>
          <cell r="V20">
            <v>43203000</v>
          </cell>
          <cell r="W20">
            <v>85891500</v>
          </cell>
          <cell r="X20">
            <v>490000</v>
          </cell>
          <cell r="Y20">
            <v>50000</v>
          </cell>
          <cell r="Z20">
            <v>0</v>
          </cell>
          <cell r="AA20">
            <v>6900000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11490000</v>
          </cell>
          <cell r="AJ20">
            <v>27180000</v>
          </cell>
          <cell r="AK20">
            <v>133195000</v>
          </cell>
          <cell r="AL20">
            <v>97706900</v>
          </cell>
          <cell r="AM20">
            <v>0</v>
          </cell>
          <cell r="AN20">
            <v>1260399265</v>
          </cell>
        </row>
        <row r="21">
          <cell r="B21" t="str">
            <v>감가상각비</v>
          </cell>
          <cell r="C21">
            <v>0</v>
          </cell>
          <cell r="D21">
            <v>8381493</v>
          </cell>
          <cell r="E21">
            <v>24161138</v>
          </cell>
          <cell r="F21">
            <v>243686</v>
          </cell>
          <cell r="G21">
            <v>44092</v>
          </cell>
          <cell r="H21">
            <v>0</v>
          </cell>
          <cell r="I21">
            <v>7860881</v>
          </cell>
          <cell r="J21">
            <v>0</v>
          </cell>
          <cell r="K21">
            <v>1680554</v>
          </cell>
          <cell r="L21">
            <v>0</v>
          </cell>
          <cell r="M21">
            <v>0</v>
          </cell>
          <cell r="N21">
            <v>7657374</v>
          </cell>
          <cell r="O21">
            <v>4714417</v>
          </cell>
          <cell r="P21">
            <v>0</v>
          </cell>
          <cell r="Q21">
            <v>231371139</v>
          </cell>
          <cell r="R21">
            <v>44643417</v>
          </cell>
          <cell r="S21">
            <v>0</v>
          </cell>
          <cell r="T21">
            <v>0</v>
          </cell>
          <cell r="U21">
            <v>0</v>
          </cell>
          <cell r="V21">
            <v>59640247</v>
          </cell>
          <cell r="W21">
            <v>29225777</v>
          </cell>
          <cell r="X21">
            <v>1535981</v>
          </cell>
          <cell r="Y21">
            <v>3636138</v>
          </cell>
          <cell r="Z21">
            <v>0</v>
          </cell>
          <cell r="AA21">
            <v>1204304</v>
          </cell>
          <cell r="AB21">
            <v>0</v>
          </cell>
          <cell r="AC21">
            <v>0</v>
          </cell>
          <cell r="AD21">
            <v>227087</v>
          </cell>
          <cell r="AE21">
            <v>858765</v>
          </cell>
          <cell r="AF21">
            <v>94360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427180850</v>
          </cell>
        </row>
        <row r="22">
          <cell r="B22" t="str">
            <v>수선비</v>
          </cell>
          <cell r="C22">
            <v>0</v>
          </cell>
          <cell r="D22">
            <v>9272500</v>
          </cell>
          <cell r="E22">
            <v>904560</v>
          </cell>
          <cell r="F22">
            <v>0</v>
          </cell>
          <cell r="G22">
            <v>0</v>
          </cell>
          <cell r="H22">
            <v>0</v>
          </cell>
          <cell r="I22">
            <v>419000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2170696</v>
          </cell>
          <cell r="O22">
            <v>86000</v>
          </cell>
          <cell r="P22">
            <v>790000</v>
          </cell>
          <cell r="Q22">
            <v>16619350</v>
          </cell>
          <cell r="R22">
            <v>590713</v>
          </cell>
          <cell r="S22">
            <v>0</v>
          </cell>
          <cell r="T22">
            <v>8000</v>
          </cell>
          <cell r="U22">
            <v>100316</v>
          </cell>
          <cell r="V22">
            <v>17410323</v>
          </cell>
          <cell r="W22">
            <v>6334650</v>
          </cell>
          <cell r="X22">
            <v>203630</v>
          </cell>
          <cell r="Y22">
            <v>5000</v>
          </cell>
          <cell r="Z22">
            <v>0</v>
          </cell>
          <cell r="AA22">
            <v>410000</v>
          </cell>
          <cell r="AB22">
            <v>0</v>
          </cell>
          <cell r="AC22">
            <v>0</v>
          </cell>
          <cell r="AD22">
            <v>0</v>
          </cell>
          <cell r="AE22">
            <v>150000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1250000</v>
          </cell>
          <cell r="AK22">
            <v>110000</v>
          </cell>
          <cell r="AL22">
            <v>0</v>
          </cell>
          <cell r="AM22">
            <v>0</v>
          </cell>
          <cell r="AN22">
            <v>56834738</v>
          </cell>
        </row>
        <row r="23">
          <cell r="B23" t="str">
            <v>보험료</v>
          </cell>
          <cell r="C23">
            <v>295522</v>
          </cell>
          <cell r="D23">
            <v>39594263</v>
          </cell>
          <cell r="E23">
            <v>111428312</v>
          </cell>
          <cell r="F23">
            <v>1420290</v>
          </cell>
          <cell r="G23">
            <v>624645</v>
          </cell>
          <cell r="H23">
            <v>780080</v>
          </cell>
          <cell r="I23">
            <v>3420367</v>
          </cell>
          <cell r="J23">
            <v>0</v>
          </cell>
          <cell r="K23">
            <v>8720640</v>
          </cell>
          <cell r="L23">
            <v>95840</v>
          </cell>
          <cell r="M23">
            <v>4889597</v>
          </cell>
          <cell r="N23">
            <v>40498008</v>
          </cell>
          <cell r="O23">
            <v>27041700</v>
          </cell>
          <cell r="P23">
            <v>46901002</v>
          </cell>
          <cell r="Q23">
            <v>850935028</v>
          </cell>
          <cell r="R23">
            <v>154259491</v>
          </cell>
          <cell r="S23">
            <v>1295360</v>
          </cell>
          <cell r="T23">
            <v>12860989</v>
          </cell>
          <cell r="U23">
            <v>4462933</v>
          </cell>
          <cell r="V23">
            <v>296151642</v>
          </cell>
          <cell r="W23">
            <v>109677467</v>
          </cell>
          <cell r="X23">
            <v>8577409</v>
          </cell>
          <cell r="Y23">
            <v>19798874</v>
          </cell>
          <cell r="Z23">
            <v>545654</v>
          </cell>
          <cell r="AA23">
            <v>8295720</v>
          </cell>
          <cell r="AB23">
            <v>0</v>
          </cell>
          <cell r="AC23">
            <v>0</v>
          </cell>
          <cell r="AD23">
            <v>1200000</v>
          </cell>
          <cell r="AE23">
            <v>4692321</v>
          </cell>
          <cell r="AF23">
            <v>499200</v>
          </cell>
          <cell r="AG23">
            <v>0</v>
          </cell>
          <cell r="AH23">
            <v>636069</v>
          </cell>
          <cell r="AI23">
            <v>2354240</v>
          </cell>
          <cell r="AJ23">
            <v>16063328</v>
          </cell>
          <cell r="AK23">
            <v>17653374</v>
          </cell>
          <cell r="AL23">
            <v>13850381</v>
          </cell>
          <cell r="AM23">
            <v>321600</v>
          </cell>
          <cell r="AN23">
            <v>1809841346</v>
          </cell>
        </row>
        <row r="24">
          <cell r="B24" t="str">
            <v>접대비</v>
          </cell>
          <cell r="C24">
            <v>1360000</v>
          </cell>
          <cell r="D24">
            <v>8474800</v>
          </cell>
          <cell r="E24">
            <v>13564002</v>
          </cell>
          <cell r="F24">
            <v>0</v>
          </cell>
          <cell r="G24">
            <v>0</v>
          </cell>
          <cell r="H24">
            <v>0</v>
          </cell>
          <cell r="I24">
            <v>9198000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7497300</v>
          </cell>
          <cell r="O24">
            <v>1961000</v>
          </cell>
          <cell r="P24">
            <v>261000</v>
          </cell>
          <cell r="Q24">
            <v>12873600</v>
          </cell>
          <cell r="R24">
            <v>5970775</v>
          </cell>
          <cell r="S24">
            <v>0</v>
          </cell>
          <cell r="T24">
            <v>0</v>
          </cell>
          <cell r="U24">
            <v>0</v>
          </cell>
          <cell r="V24">
            <v>2919700</v>
          </cell>
          <cell r="W24">
            <v>8482539</v>
          </cell>
          <cell r="X24">
            <v>1178600</v>
          </cell>
          <cell r="Y24">
            <v>2744000</v>
          </cell>
          <cell r="Z24">
            <v>0</v>
          </cell>
          <cell r="AA24">
            <v>2393910</v>
          </cell>
          <cell r="AB24">
            <v>0</v>
          </cell>
          <cell r="AC24">
            <v>0</v>
          </cell>
          <cell r="AD24">
            <v>0</v>
          </cell>
          <cell r="AE24">
            <v>410000</v>
          </cell>
          <cell r="AF24">
            <v>0</v>
          </cell>
          <cell r="AG24">
            <v>0</v>
          </cell>
          <cell r="AH24">
            <v>1582975</v>
          </cell>
          <cell r="AI24">
            <v>0</v>
          </cell>
          <cell r="AJ24">
            <v>0</v>
          </cell>
          <cell r="AK24">
            <v>382000</v>
          </cell>
          <cell r="AL24">
            <v>94000</v>
          </cell>
          <cell r="AM24">
            <v>0</v>
          </cell>
          <cell r="AN24">
            <v>81348201</v>
          </cell>
        </row>
        <row r="25">
          <cell r="B25" t="str">
            <v>광고선전비</v>
          </cell>
          <cell r="C25">
            <v>0</v>
          </cell>
          <cell r="D25">
            <v>132035636</v>
          </cell>
          <cell r="E25">
            <v>93876980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1008400</v>
          </cell>
          <cell r="O25">
            <v>0</v>
          </cell>
          <cell r="P25">
            <v>0</v>
          </cell>
          <cell r="Q25">
            <v>410000</v>
          </cell>
          <cell r="R25">
            <v>0</v>
          </cell>
          <cell r="S25">
            <v>0</v>
          </cell>
          <cell r="T25">
            <v>0</v>
          </cell>
          <cell r="U25">
            <v>1006000</v>
          </cell>
          <cell r="V25">
            <v>1770000</v>
          </cell>
          <cell r="W25">
            <v>1611000</v>
          </cell>
          <cell r="X25">
            <v>0</v>
          </cell>
          <cell r="Y25">
            <v>0</v>
          </cell>
          <cell r="Z25">
            <v>0</v>
          </cell>
          <cell r="AA25">
            <v>500000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232218016</v>
          </cell>
        </row>
        <row r="26">
          <cell r="B26" t="str">
            <v>운반비</v>
          </cell>
          <cell r="C26">
            <v>90000</v>
          </cell>
          <cell r="D26">
            <v>9777500</v>
          </cell>
          <cell r="E26">
            <v>23750100</v>
          </cell>
          <cell r="F26">
            <v>0</v>
          </cell>
          <cell r="G26">
            <v>0</v>
          </cell>
          <cell r="H26">
            <v>0</v>
          </cell>
          <cell r="I26">
            <v>10380000</v>
          </cell>
          <cell r="J26">
            <v>0</v>
          </cell>
          <cell r="K26">
            <v>0</v>
          </cell>
          <cell r="L26">
            <v>250000</v>
          </cell>
          <cell r="M26">
            <v>0</v>
          </cell>
          <cell r="N26">
            <v>3687500</v>
          </cell>
          <cell r="O26">
            <v>4974500</v>
          </cell>
          <cell r="P26">
            <v>5978000</v>
          </cell>
          <cell r="Q26">
            <v>80827660</v>
          </cell>
          <cell r="R26">
            <v>23260498</v>
          </cell>
          <cell r="S26">
            <v>0</v>
          </cell>
          <cell r="T26">
            <v>15163955</v>
          </cell>
          <cell r="U26">
            <v>193965</v>
          </cell>
          <cell r="V26">
            <v>20253500</v>
          </cell>
          <cell r="W26">
            <v>12268272</v>
          </cell>
          <cell r="X26">
            <v>493000</v>
          </cell>
          <cell r="Y26">
            <v>1692000</v>
          </cell>
          <cell r="Z26">
            <v>0</v>
          </cell>
          <cell r="AA26">
            <v>5753610</v>
          </cell>
          <cell r="AB26">
            <v>0</v>
          </cell>
          <cell r="AC26">
            <v>0</v>
          </cell>
          <cell r="AD26">
            <v>0</v>
          </cell>
          <cell r="AE26">
            <v>248000</v>
          </cell>
          <cell r="AF26">
            <v>0</v>
          </cell>
          <cell r="AG26">
            <v>0</v>
          </cell>
          <cell r="AH26">
            <v>0</v>
          </cell>
          <cell r="AI26">
            <v>272300</v>
          </cell>
          <cell r="AJ26">
            <v>2961400</v>
          </cell>
          <cell r="AK26">
            <v>3281000</v>
          </cell>
          <cell r="AL26">
            <v>2199100</v>
          </cell>
          <cell r="AM26">
            <v>0</v>
          </cell>
          <cell r="AN26">
            <v>227755860</v>
          </cell>
        </row>
        <row r="27">
          <cell r="B27" t="str">
            <v>장비유지비</v>
          </cell>
          <cell r="C27">
            <v>33300</v>
          </cell>
          <cell r="D27">
            <v>13863215</v>
          </cell>
          <cell r="E27">
            <v>1500000</v>
          </cell>
          <cell r="F27">
            <v>0</v>
          </cell>
          <cell r="G27">
            <v>0</v>
          </cell>
          <cell r="H27">
            <v>0</v>
          </cell>
          <cell r="I27">
            <v>2283000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1149599</v>
          </cell>
          <cell r="O27">
            <v>0</v>
          </cell>
          <cell r="P27">
            <v>0</v>
          </cell>
          <cell r="Q27">
            <v>5020660</v>
          </cell>
          <cell r="R27">
            <v>51189</v>
          </cell>
          <cell r="S27">
            <v>0</v>
          </cell>
          <cell r="T27">
            <v>2641951</v>
          </cell>
          <cell r="U27">
            <v>0</v>
          </cell>
          <cell r="V27">
            <v>2404889</v>
          </cell>
          <cell r="W27">
            <v>1644300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30592103</v>
          </cell>
        </row>
        <row r="28">
          <cell r="B28" t="str">
            <v>차량유지비</v>
          </cell>
          <cell r="C28">
            <v>1552310</v>
          </cell>
          <cell r="D28">
            <v>3083632</v>
          </cell>
          <cell r="E28">
            <v>4866200</v>
          </cell>
          <cell r="F28">
            <v>0</v>
          </cell>
          <cell r="G28">
            <v>0</v>
          </cell>
          <cell r="H28">
            <v>113000</v>
          </cell>
          <cell r="I28">
            <v>3326217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3426944</v>
          </cell>
          <cell r="O28">
            <v>1728200</v>
          </cell>
          <cell r="P28">
            <v>17322920</v>
          </cell>
          <cell r="Q28">
            <v>8925995</v>
          </cell>
          <cell r="R28">
            <v>9731073</v>
          </cell>
          <cell r="S28">
            <v>0</v>
          </cell>
          <cell r="T28">
            <v>4542039</v>
          </cell>
          <cell r="U28">
            <v>2164081</v>
          </cell>
          <cell r="V28">
            <v>5277288</v>
          </cell>
          <cell r="W28">
            <v>5921637</v>
          </cell>
          <cell r="X28">
            <v>656611</v>
          </cell>
          <cell r="Y28">
            <v>1590046</v>
          </cell>
          <cell r="Z28">
            <v>0</v>
          </cell>
          <cell r="AA28">
            <v>1230136</v>
          </cell>
          <cell r="AB28">
            <v>0</v>
          </cell>
          <cell r="AC28">
            <v>0</v>
          </cell>
          <cell r="AD28">
            <v>0</v>
          </cell>
          <cell r="AE28">
            <v>188205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3806070</v>
          </cell>
          <cell r="AK28">
            <v>12604093</v>
          </cell>
          <cell r="AL28">
            <v>138747</v>
          </cell>
          <cell r="AM28">
            <v>0</v>
          </cell>
          <cell r="AN28">
            <v>92195444</v>
          </cell>
        </row>
        <row r="29">
          <cell r="B29" t="str">
            <v>소모품비</v>
          </cell>
          <cell r="C29">
            <v>530380</v>
          </cell>
          <cell r="D29">
            <v>2080200</v>
          </cell>
          <cell r="E29">
            <v>3545518</v>
          </cell>
          <cell r="F29">
            <v>0</v>
          </cell>
          <cell r="G29">
            <v>8000</v>
          </cell>
          <cell r="H29">
            <v>44500</v>
          </cell>
          <cell r="I29">
            <v>2216650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2817310</v>
          </cell>
          <cell r="O29">
            <v>966900</v>
          </cell>
          <cell r="P29">
            <v>638800</v>
          </cell>
          <cell r="Q29">
            <v>16260940</v>
          </cell>
          <cell r="R29">
            <v>3956531</v>
          </cell>
          <cell r="S29">
            <v>0</v>
          </cell>
          <cell r="T29">
            <v>26171614</v>
          </cell>
          <cell r="U29">
            <v>5247647</v>
          </cell>
          <cell r="V29">
            <v>4948420</v>
          </cell>
          <cell r="W29">
            <v>7676595</v>
          </cell>
          <cell r="X29">
            <v>623800</v>
          </cell>
          <cell r="Y29">
            <v>2402300</v>
          </cell>
          <cell r="Z29">
            <v>0</v>
          </cell>
          <cell r="AA29">
            <v>1376250</v>
          </cell>
          <cell r="AB29">
            <v>0</v>
          </cell>
          <cell r="AC29">
            <v>0</v>
          </cell>
          <cell r="AD29">
            <v>0</v>
          </cell>
          <cell r="AE29">
            <v>841500</v>
          </cell>
          <cell r="AF29">
            <v>0</v>
          </cell>
          <cell r="AG29">
            <v>0</v>
          </cell>
          <cell r="AH29">
            <v>0</v>
          </cell>
          <cell r="AI29">
            <v>136100</v>
          </cell>
          <cell r="AJ29">
            <v>487300</v>
          </cell>
          <cell r="AK29">
            <v>2930910</v>
          </cell>
          <cell r="AL29">
            <v>2064520</v>
          </cell>
          <cell r="AM29">
            <v>0</v>
          </cell>
          <cell r="AN29">
            <v>87972685</v>
          </cell>
        </row>
        <row r="30">
          <cell r="B30" t="str">
            <v>지급수수료</v>
          </cell>
          <cell r="C30">
            <v>339270220</v>
          </cell>
          <cell r="D30">
            <v>256046670</v>
          </cell>
          <cell r="E30">
            <v>594730673</v>
          </cell>
          <cell r="F30">
            <v>80000</v>
          </cell>
          <cell r="G30">
            <v>0</v>
          </cell>
          <cell r="H30">
            <v>0</v>
          </cell>
          <cell r="I30">
            <v>7527980</v>
          </cell>
          <cell r="J30">
            <v>0</v>
          </cell>
          <cell r="K30">
            <v>8930</v>
          </cell>
          <cell r="L30">
            <v>0</v>
          </cell>
          <cell r="M30">
            <v>0</v>
          </cell>
          <cell r="N30">
            <v>24034700</v>
          </cell>
          <cell r="O30">
            <v>17574480</v>
          </cell>
          <cell r="P30">
            <v>18930000</v>
          </cell>
          <cell r="Q30">
            <v>212785440</v>
          </cell>
          <cell r="R30">
            <v>66539445</v>
          </cell>
          <cell r="S30">
            <v>0</v>
          </cell>
          <cell r="T30">
            <v>50424506</v>
          </cell>
          <cell r="U30">
            <v>26626201</v>
          </cell>
          <cell r="V30">
            <v>163175200</v>
          </cell>
          <cell r="W30">
            <v>34702680</v>
          </cell>
          <cell r="X30">
            <v>541600</v>
          </cell>
          <cell r="Y30">
            <v>1758100</v>
          </cell>
          <cell r="Z30">
            <v>148310000</v>
          </cell>
          <cell r="AA30">
            <v>5648110</v>
          </cell>
          <cell r="AB30">
            <v>2306130</v>
          </cell>
          <cell r="AC30">
            <v>79216000</v>
          </cell>
          <cell r="AD30">
            <v>0</v>
          </cell>
          <cell r="AE30">
            <v>15000</v>
          </cell>
          <cell r="AF30">
            <v>3120</v>
          </cell>
          <cell r="AG30">
            <v>5921890</v>
          </cell>
          <cell r="AH30">
            <v>0</v>
          </cell>
          <cell r="AI30">
            <v>0</v>
          </cell>
          <cell r="AJ30">
            <v>17553450</v>
          </cell>
          <cell r="AK30">
            <v>11783000</v>
          </cell>
          <cell r="AL30">
            <v>45556500</v>
          </cell>
          <cell r="AM30">
            <v>0</v>
          </cell>
          <cell r="AN30">
            <v>2131070025</v>
          </cell>
        </row>
        <row r="31">
          <cell r="B31" t="str">
            <v>도서인쇄비</v>
          </cell>
          <cell r="C31">
            <v>594800</v>
          </cell>
          <cell r="D31">
            <v>1591500</v>
          </cell>
          <cell r="E31">
            <v>3572460</v>
          </cell>
          <cell r="F31">
            <v>0</v>
          </cell>
          <cell r="G31">
            <v>0</v>
          </cell>
          <cell r="H31">
            <v>0</v>
          </cell>
          <cell r="I31">
            <v>1470050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1887550</v>
          </cell>
          <cell r="O31">
            <v>2364620</v>
          </cell>
          <cell r="P31">
            <v>807850</v>
          </cell>
          <cell r="Q31">
            <v>14213430</v>
          </cell>
          <cell r="R31">
            <v>4605562</v>
          </cell>
          <cell r="S31">
            <v>0</v>
          </cell>
          <cell r="T31">
            <v>1511459</v>
          </cell>
          <cell r="U31">
            <v>1369922</v>
          </cell>
          <cell r="V31">
            <v>22926950</v>
          </cell>
          <cell r="W31">
            <v>7334123</v>
          </cell>
          <cell r="X31">
            <v>911480</v>
          </cell>
          <cell r="Y31">
            <v>1836060</v>
          </cell>
          <cell r="Z31">
            <v>0</v>
          </cell>
          <cell r="AA31">
            <v>1266910</v>
          </cell>
          <cell r="AB31">
            <v>0</v>
          </cell>
          <cell r="AC31">
            <v>0</v>
          </cell>
          <cell r="AD31">
            <v>0</v>
          </cell>
          <cell r="AE31">
            <v>386320</v>
          </cell>
          <cell r="AF31">
            <v>0</v>
          </cell>
          <cell r="AG31">
            <v>0</v>
          </cell>
          <cell r="AH31">
            <v>0</v>
          </cell>
          <cell r="AI31">
            <v>207700</v>
          </cell>
          <cell r="AJ31">
            <v>1216463</v>
          </cell>
          <cell r="AK31">
            <v>5146957</v>
          </cell>
          <cell r="AL31">
            <v>2440240</v>
          </cell>
          <cell r="AM31">
            <v>0</v>
          </cell>
          <cell r="AN31">
            <v>77662406</v>
          </cell>
        </row>
        <row r="32">
          <cell r="B32" t="str">
            <v>보상비</v>
          </cell>
          <cell r="C32">
            <v>0</v>
          </cell>
          <cell r="D32">
            <v>0</v>
          </cell>
          <cell r="E32">
            <v>2270000</v>
          </cell>
          <cell r="F32">
            <v>0</v>
          </cell>
          <cell r="G32">
            <v>3000000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115000000</v>
          </cell>
          <cell r="R32">
            <v>338800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120608800</v>
          </cell>
        </row>
        <row r="33">
          <cell r="B33" t="str">
            <v>안전관리비</v>
          </cell>
          <cell r="C33">
            <v>0</v>
          </cell>
          <cell r="D33">
            <v>7721700</v>
          </cell>
          <cell r="E33">
            <v>61517620</v>
          </cell>
          <cell r="F33">
            <v>0</v>
          </cell>
          <cell r="G33">
            <v>79300</v>
          </cell>
          <cell r="H33">
            <v>0</v>
          </cell>
          <cell r="I33">
            <v>5278900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15448640</v>
          </cell>
          <cell r="O33">
            <v>168000</v>
          </cell>
          <cell r="P33">
            <v>0</v>
          </cell>
          <cell r="Q33">
            <v>31163600</v>
          </cell>
          <cell r="R33">
            <v>35745330</v>
          </cell>
          <cell r="S33">
            <v>0</v>
          </cell>
          <cell r="T33">
            <v>23899059</v>
          </cell>
          <cell r="U33">
            <v>2469470</v>
          </cell>
          <cell r="V33">
            <v>23544051</v>
          </cell>
          <cell r="W33">
            <v>14367578</v>
          </cell>
          <cell r="X33">
            <v>0</v>
          </cell>
          <cell r="Y33">
            <v>0</v>
          </cell>
          <cell r="Z33">
            <v>0</v>
          </cell>
          <cell r="AA33">
            <v>13385500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234788748</v>
          </cell>
        </row>
        <row r="34">
          <cell r="B34" t="str">
            <v>잡비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226678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226678</v>
          </cell>
        </row>
        <row r="35">
          <cell r="C35">
            <v>364634104</v>
          </cell>
          <cell r="D35">
            <v>4738930497</v>
          </cell>
          <cell r="E35">
            <v>13579797423</v>
          </cell>
          <cell r="F35">
            <v>136647604</v>
          </cell>
          <cell r="G35">
            <v>25541569</v>
          </cell>
          <cell r="H35">
            <v>49686580</v>
          </cell>
          <cell r="I35">
            <v>3170860870</v>
          </cell>
          <cell r="J35">
            <v>0</v>
          </cell>
          <cell r="K35">
            <v>937099087</v>
          </cell>
          <cell r="L35">
            <v>11594400</v>
          </cell>
          <cell r="M35">
            <v>514522597</v>
          </cell>
          <cell r="N35">
            <v>4317159976</v>
          </cell>
          <cell r="O35">
            <v>2639349396</v>
          </cell>
          <cell r="P35">
            <v>3317357031</v>
          </cell>
          <cell r="Q35">
            <v>122907143902</v>
          </cell>
          <cell r="R35">
            <v>15080323747</v>
          </cell>
          <cell r="S35">
            <v>81260472</v>
          </cell>
          <cell r="T35">
            <v>1127945011</v>
          </cell>
          <cell r="U35">
            <v>311274985</v>
          </cell>
          <cell r="V35">
            <v>31057410536</v>
          </cell>
          <cell r="W35">
            <v>12637740752</v>
          </cell>
          <cell r="X35">
            <v>858898870</v>
          </cell>
          <cell r="Y35">
            <v>2034097322</v>
          </cell>
          <cell r="Z35">
            <v>165201535</v>
          </cell>
          <cell r="AA35">
            <v>686771417</v>
          </cell>
          <cell r="AB35">
            <v>2381130</v>
          </cell>
          <cell r="AC35">
            <v>79216000</v>
          </cell>
          <cell r="AD35">
            <v>126577087</v>
          </cell>
          <cell r="AE35">
            <v>479079862</v>
          </cell>
          <cell r="AF35">
            <v>52596680</v>
          </cell>
          <cell r="AG35">
            <v>5921890</v>
          </cell>
          <cell r="AH35">
            <v>7572862420</v>
          </cell>
          <cell r="AI35">
            <v>113067135</v>
          </cell>
          <cell r="AJ35">
            <v>877316860</v>
          </cell>
          <cell r="AK35">
            <v>1887696919</v>
          </cell>
          <cell r="AL35">
            <v>1109809195</v>
          </cell>
          <cell r="AM35">
            <v>13499961</v>
          </cell>
          <cell r="AN35">
            <v>233071274822</v>
          </cell>
        </row>
        <row r="36">
          <cell r="B36" t="str">
            <v>하자보수충당금전입액</v>
          </cell>
          <cell r="C36">
            <v>0</v>
          </cell>
          <cell r="D36">
            <v>0</v>
          </cell>
          <cell r="E36">
            <v>0</v>
          </cell>
          <cell r="F36">
            <v>27768000</v>
          </cell>
          <cell r="G36">
            <v>0</v>
          </cell>
          <cell r="H36">
            <v>0</v>
          </cell>
          <cell r="I36">
            <v>32080900</v>
          </cell>
          <cell r="J36">
            <v>617980900</v>
          </cell>
          <cell r="K36">
            <v>4446200</v>
          </cell>
          <cell r="L36">
            <v>0</v>
          </cell>
          <cell r="M36">
            <v>7298000</v>
          </cell>
          <cell r="N36">
            <v>0</v>
          </cell>
          <cell r="O36">
            <v>11410600</v>
          </cell>
          <cell r="P36">
            <v>10842000</v>
          </cell>
          <cell r="Q36">
            <v>805450300</v>
          </cell>
          <cell r="R36">
            <v>47942500</v>
          </cell>
          <cell r="S36">
            <v>1068200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4737200</v>
          </cell>
          <cell r="Y36">
            <v>6849500</v>
          </cell>
          <cell r="Z36">
            <v>475700</v>
          </cell>
          <cell r="AA36">
            <v>0</v>
          </cell>
          <cell r="AB36">
            <v>0</v>
          </cell>
          <cell r="AC36">
            <v>254100</v>
          </cell>
          <cell r="AD36">
            <v>425300</v>
          </cell>
          <cell r="AE36">
            <v>0</v>
          </cell>
          <cell r="AF36">
            <v>142100</v>
          </cell>
          <cell r="AG36">
            <v>0</v>
          </cell>
          <cell r="AH36">
            <v>0</v>
          </cell>
          <cell r="AI36">
            <v>498900</v>
          </cell>
          <cell r="AJ36">
            <v>2431000</v>
          </cell>
          <cell r="AK36">
            <v>0</v>
          </cell>
          <cell r="AL36">
            <v>0</v>
          </cell>
          <cell r="AM36">
            <v>0</v>
          </cell>
          <cell r="AN36">
            <v>1582101400</v>
          </cell>
        </row>
        <row r="37">
          <cell r="B37" t="str">
            <v>이자비용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364634104</v>
          </cell>
          <cell r="D38">
            <v>4738930497</v>
          </cell>
          <cell r="E38">
            <v>13579797423</v>
          </cell>
          <cell r="F38">
            <v>164415604</v>
          </cell>
          <cell r="G38">
            <v>25541569</v>
          </cell>
          <cell r="H38">
            <v>49686580</v>
          </cell>
          <cell r="I38">
            <v>3202941770</v>
          </cell>
          <cell r="J38">
            <v>617980900</v>
          </cell>
          <cell r="K38">
            <v>941545287</v>
          </cell>
          <cell r="L38">
            <v>11594400</v>
          </cell>
          <cell r="M38">
            <v>521820597</v>
          </cell>
          <cell r="N38">
            <v>4317159976</v>
          </cell>
          <cell r="O38">
            <v>2650759996</v>
          </cell>
          <cell r="P38">
            <v>3328199031</v>
          </cell>
          <cell r="Q38">
            <v>123712594202</v>
          </cell>
          <cell r="R38">
            <v>15128266247</v>
          </cell>
          <cell r="S38">
            <v>82328672</v>
          </cell>
          <cell r="T38">
            <v>1127945011</v>
          </cell>
          <cell r="U38">
            <v>311274985</v>
          </cell>
          <cell r="V38">
            <v>31057410536</v>
          </cell>
          <cell r="W38">
            <v>12637740752</v>
          </cell>
          <cell r="X38">
            <v>863636070</v>
          </cell>
          <cell r="Y38">
            <v>2040946822</v>
          </cell>
          <cell r="Z38">
            <v>165677235</v>
          </cell>
          <cell r="AA38">
            <v>686771417</v>
          </cell>
          <cell r="AB38">
            <v>2381130</v>
          </cell>
          <cell r="AC38">
            <v>79470100</v>
          </cell>
          <cell r="AD38">
            <v>127002387</v>
          </cell>
          <cell r="AE38">
            <v>479079862</v>
          </cell>
          <cell r="AF38">
            <v>52738780</v>
          </cell>
          <cell r="AG38">
            <v>5921890</v>
          </cell>
          <cell r="AH38">
            <v>7572862420</v>
          </cell>
          <cell r="AI38">
            <v>113566035</v>
          </cell>
          <cell r="AJ38">
            <v>879747860</v>
          </cell>
          <cell r="AK38">
            <v>1887696919</v>
          </cell>
          <cell r="AL38">
            <v>1109809195</v>
          </cell>
          <cell r="AM38">
            <v>13499961</v>
          </cell>
          <cell r="AN38">
            <v>234653376222</v>
          </cell>
        </row>
        <row r="39">
          <cell r="B39" t="str">
            <v>공사손실충당금전입액</v>
          </cell>
          <cell r="C39">
            <v>0</v>
          </cell>
          <cell r="D39">
            <v>59448916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59448916</v>
          </cell>
        </row>
      </sheetData>
      <sheetData sheetId="6">
        <row r="4">
          <cell r="B4" t="str">
            <v>계정과목</v>
          </cell>
          <cell r="C4" t="str">
            <v>연희동</v>
          </cell>
          <cell r="D4" t="str">
            <v>명륜동주상복합</v>
          </cell>
          <cell r="E4" t="str">
            <v>역삼동</v>
          </cell>
          <cell r="F4" t="str">
            <v>대전중리동</v>
          </cell>
          <cell r="G4" t="str">
            <v>진월동</v>
          </cell>
          <cell r="H4" t="str">
            <v>동해</v>
          </cell>
          <cell r="I4" t="str">
            <v>전주아중지구</v>
          </cell>
          <cell r="J4" t="str">
            <v>울산APT</v>
          </cell>
          <cell r="K4" t="str">
            <v>가평현장</v>
          </cell>
          <cell r="L4" t="str">
            <v>양평</v>
          </cell>
          <cell r="M4" t="str">
            <v>계</v>
          </cell>
        </row>
        <row r="5">
          <cell r="C5" t="str">
            <v>A1127</v>
          </cell>
          <cell r="D5" t="str">
            <v>A9309</v>
          </cell>
          <cell r="E5" t="str">
            <v>A9415</v>
          </cell>
          <cell r="F5" t="str">
            <v>A9427</v>
          </cell>
          <cell r="G5" t="str">
            <v>A9428</v>
          </cell>
          <cell r="H5" t="str">
            <v>A9508</v>
          </cell>
          <cell r="I5" t="str">
            <v>A9608</v>
          </cell>
          <cell r="J5" t="str">
            <v>A9311</v>
          </cell>
          <cell r="K5" t="str">
            <v>A9623</v>
          </cell>
          <cell r="L5" t="str">
            <v>AB701</v>
          </cell>
        </row>
        <row r="7">
          <cell r="B7" t="str">
            <v>재료비</v>
          </cell>
          <cell r="C7">
            <v>1174118082</v>
          </cell>
          <cell r="D7">
            <v>1113856577</v>
          </cell>
          <cell r="E7">
            <v>0</v>
          </cell>
          <cell r="F7">
            <v>377590229</v>
          </cell>
          <cell r="G7">
            <v>3798182446</v>
          </cell>
          <cell r="H7">
            <v>436368988</v>
          </cell>
          <cell r="I7">
            <v>2247449826</v>
          </cell>
          <cell r="J7">
            <v>111887760</v>
          </cell>
          <cell r="K7">
            <v>29267664</v>
          </cell>
          <cell r="L7">
            <v>0</v>
          </cell>
          <cell r="M7">
            <v>9288721572</v>
          </cell>
        </row>
        <row r="8">
          <cell r="B8" t="str">
            <v>노무비</v>
          </cell>
          <cell r="C8">
            <v>376725000</v>
          </cell>
          <cell r="D8">
            <v>105540000</v>
          </cell>
          <cell r="E8">
            <v>0</v>
          </cell>
          <cell r="F8">
            <v>30138000</v>
          </cell>
          <cell r="G8">
            <v>673488400</v>
          </cell>
          <cell r="H8">
            <v>36800000</v>
          </cell>
          <cell r="I8">
            <v>109825000</v>
          </cell>
          <cell r="J8">
            <v>0</v>
          </cell>
          <cell r="K8">
            <v>0</v>
          </cell>
          <cell r="L8">
            <v>0</v>
          </cell>
          <cell r="M8">
            <v>1332516400</v>
          </cell>
        </row>
        <row r="9">
          <cell r="B9" t="str">
            <v>급여</v>
          </cell>
          <cell r="C9">
            <v>28616000</v>
          </cell>
          <cell r="D9">
            <v>176339590</v>
          </cell>
          <cell r="E9">
            <v>43409140</v>
          </cell>
          <cell r="F9">
            <v>111702970</v>
          </cell>
          <cell r="G9">
            <v>255527650</v>
          </cell>
          <cell r="H9">
            <v>70868050</v>
          </cell>
          <cell r="I9">
            <v>196941840</v>
          </cell>
          <cell r="J9">
            <v>0</v>
          </cell>
          <cell r="K9">
            <v>0</v>
          </cell>
          <cell r="L9">
            <v>0</v>
          </cell>
          <cell r="M9">
            <v>883405240</v>
          </cell>
        </row>
        <row r="10">
          <cell r="B10" t="str">
            <v>상여금</v>
          </cell>
          <cell r="C10">
            <v>9054500</v>
          </cell>
          <cell r="D10">
            <v>42138700</v>
          </cell>
          <cell r="E10">
            <v>15246500</v>
          </cell>
          <cell r="F10">
            <v>31169000</v>
          </cell>
          <cell r="G10">
            <v>71161700</v>
          </cell>
          <cell r="H10">
            <v>16679400</v>
          </cell>
          <cell r="I10">
            <v>51289100</v>
          </cell>
          <cell r="J10">
            <v>0</v>
          </cell>
          <cell r="K10">
            <v>0</v>
          </cell>
          <cell r="L10">
            <v>0</v>
          </cell>
          <cell r="M10">
            <v>236738900</v>
          </cell>
        </row>
        <row r="11">
          <cell r="B11" t="str">
            <v>퇴직급여</v>
          </cell>
          <cell r="C11">
            <v>6242553</v>
          </cell>
          <cell r="D11">
            <v>29052190</v>
          </cell>
          <cell r="E11">
            <v>10511578</v>
          </cell>
          <cell r="F11">
            <v>21489218</v>
          </cell>
          <cell r="G11">
            <v>49061865</v>
          </cell>
          <cell r="H11">
            <v>11499479</v>
          </cell>
          <cell r="I11">
            <v>35360860</v>
          </cell>
          <cell r="J11">
            <v>0</v>
          </cell>
          <cell r="K11">
            <v>0</v>
          </cell>
          <cell r="L11">
            <v>0</v>
          </cell>
          <cell r="M11">
            <v>163217743</v>
          </cell>
        </row>
        <row r="12">
          <cell r="B12" t="str">
            <v>외주비</v>
          </cell>
          <cell r="C12">
            <v>654924000</v>
          </cell>
          <cell r="D12">
            <v>4234466706</v>
          </cell>
          <cell r="E12">
            <v>9906627866</v>
          </cell>
          <cell r="F12">
            <v>2187895350</v>
          </cell>
          <cell r="G12">
            <v>3560322110</v>
          </cell>
          <cell r="H12">
            <v>736520506</v>
          </cell>
          <cell r="I12">
            <v>5620556940</v>
          </cell>
          <cell r="J12">
            <v>91660000</v>
          </cell>
          <cell r="K12">
            <v>815760000</v>
          </cell>
          <cell r="L12">
            <v>0</v>
          </cell>
          <cell r="M12">
            <v>27808733478</v>
          </cell>
        </row>
        <row r="14">
          <cell r="B14" t="str">
            <v>(경 비)</v>
          </cell>
          <cell r="C14">
            <v>264009667</v>
          </cell>
          <cell r="D14">
            <v>1766580197</v>
          </cell>
          <cell r="E14">
            <v>395840473</v>
          </cell>
          <cell r="F14">
            <v>160927670</v>
          </cell>
          <cell r="G14">
            <v>2020917994</v>
          </cell>
          <cell r="H14">
            <v>593134533</v>
          </cell>
          <cell r="I14">
            <v>914369546</v>
          </cell>
          <cell r="J14">
            <v>879936</v>
          </cell>
          <cell r="K14">
            <v>44740789</v>
          </cell>
          <cell r="L14">
            <v>70000000</v>
          </cell>
          <cell r="M14">
            <v>6231400805</v>
          </cell>
        </row>
        <row r="15">
          <cell r="B15" t="str">
            <v>복리후생비</v>
          </cell>
          <cell r="C15">
            <v>7839680</v>
          </cell>
          <cell r="D15">
            <v>38990800</v>
          </cell>
          <cell r="E15">
            <v>5865900</v>
          </cell>
          <cell r="F15">
            <v>21525150</v>
          </cell>
          <cell r="G15">
            <v>60334300</v>
          </cell>
          <cell r="H15">
            <v>16074210</v>
          </cell>
          <cell r="I15">
            <v>47695820</v>
          </cell>
          <cell r="J15">
            <v>0</v>
          </cell>
          <cell r="K15">
            <v>0</v>
          </cell>
          <cell r="L15">
            <v>0</v>
          </cell>
          <cell r="M15">
            <v>198325860</v>
          </cell>
        </row>
        <row r="16">
          <cell r="B16" t="str">
            <v>여비교통비</v>
          </cell>
          <cell r="C16">
            <v>0</v>
          </cell>
          <cell r="D16">
            <v>285000</v>
          </cell>
          <cell r="E16">
            <v>84500</v>
          </cell>
          <cell r="F16">
            <v>1071500</v>
          </cell>
          <cell r="G16">
            <v>3970820</v>
          </cell>
          <cell r="H16">
            <v>1051400</v>
          </cell>
          <cell r="I16">
            <v>2647330</v>
          </cell>
          <cell r="J16">
            <v>0</v>
          </cell>
          <cell r="K16">
            <v>0</v>
          </cell>
          <cell r="L16">
            <v>0</v>
          </cell>
          <cell r="M16">
            <v>9110550</v>
          </cell>
        </row>
        <row r="17">
          <cell r="B17" t="str">
            <v>통신비</v>
          </cell>
          <cell r="C17">
            <v>699870</v>
          </cell>
          <cell r="D17">
            <v>2449940</v>
          </cell>
          <cell r="E17">
            <v>317680</v>
          </cell>
          <cell r="F17">
            <v>2659500</v>
          </cell>
          <cell r="G17">
            <v>7593070</v>
          </cell>
          <cell r="H17">
            <v>1540890</v>
          </cell>
          <cell r="I17">
            <v>5136340</v>
          </cell>
          <cell r="J17">
            <v>0</v>
          </cell>
          <cell r="K17">
            <v>0</v>
          </cell>
          <cell r="L17">
            <v>0</v>
          </cell>
          <cell r="M17">
            <v>20397290</v>
          </cell>
        </row>
        <row r="18">
          <cell r="B18" t="str">
            <v>수도광열비</v>
          </cell>
          <cell r="C18">
            <v>23592298</v>
          </cell>
          <cell r="D18">
            <v>19221168</v>
          </cell>
          <cell r="E18">
            <v>0</v>
          </cell>
          <cell r="F18">
            <v>8626532</v>
          </cell>
          <cell r="G18">
            <v>360100744</v>
          </cell>
          <cell r="H18">
            <v>5877821</v>
          </cell>
          <cell r="I18">
            <v>16456006</v>
          </cell>
          <cell r="J18">
            <v>0</v>
          </cell>
          <cell r="K18">
            <v>0</v>
          </cell>
          <cell r="L18">
            <v>0</v>
          </cell>
          <cell r="M18">
            <v>433874569</v>
          </cell>
        </row>
        <row r="19">
          <cell r="B19" t="str">
            <v>세금과공과</v>
          </cell>
          <cell r="C19">
            <v>130579400</v>
          </cell>
          <cell r="D19">
            <v>1330817581</v>
          </cell>
          <cell r="E19">
            <v>265759540</v>
          </cell>
          <cell r="F19">
            <v>12902840</v>
          </cell>
          <cell r="G19">
            <v>997832660</v>
          </cell>
          <cell r="H19">
            <v>35378570</v>
          </cell>
          <cell r="I19">
            <v>278401328</v>
          </cell>
          <cell r="J19">
            <v>0</v>
          </cell>
          <cell r="K19">
            <v>250000</v>
          </cell>
          <cell r="L19">
            <v>0</v>
          </cell>
          <cell r="M19">
            <v>3051921919</v>
          </cell>
        </row>
        <row r="20">
          <cell r="B20" t="str">
            <v>지급임차료</v>
          </cell>
          <cell r="C20">
            <v>0</v>
          </cell>
          <cell r="D20">
            <v>3790000</v>
          </cell>
          <cell r="E20">
            <v>0</v>
          </cell>
          <cell r="F20">
            <v>3900000</v>
          </cell>
          <cell r="G20">
            <v>13229545</v>
          </cell>
          <cell r="H20">
            <v>77540740</v>
          </cell>
          <cell r="I20">
            <v>106960000</v>
          </cell>
          <cell r="J20">
            <v>0</v>
          </cell>
          <cell r="K20">
            <v>0</v>
          </cell>
          <cell r="L20">
            <v>0</v>
          </cell>
          <cell r="M20">
            <v>205420285</v>
          </cell>
        </row>
        <row r="21">
          <cell r="B21" t="str">
            <v>감가상각비</v>
          </cell>
          <cell r="C21">
            <v>4442424</v>
          </cell>
          <cell r="D21">
            <v>25424988</v>
          </cell>
          <cell r="E21">
            <v>18590108</v>
          </cell>
          <cell r="F21">
            <v>5178351</v>
          </cell>
          <cell r="G21">
            <v>26953912</v>
          </cell>
          <cell r="H21">
            <v>3378079</v>
          </cell>
          <cell r="I21">
            <v>37008392</v>
          </cell>
          <cell r="J21">
            <v>0</v>
          </cell>
          <cell r="K21">
            <v>1595795</v>
          </cell>
          <cell r="L21">
            <v>0</v>
          </cell>
          <cell r="M21">
            <v>122572049</v>
          </cell>
        </row>
        <row r="22">
          <cell r="B22" t="str">
            <v>수선비</v>
          </cell>
          <cell r="C22">
            <v>0</v>
          </cell>
          <cell r="D22">
            <v>2975000</v>
          </cell>
          <cell r="E22">
            <v>0</v>
          </cell>
          <cell r="F22">
            <v>3306309</v>
          </cell>
          <cell r="G22">
            <v>1983540</v>
          </cell>
          <cell r="H22">
            <v>2657000</v>
          </cell>
          <cell r="I22">
            <v>3829000</v>
          </cell>
          <cell r="J22">
            <v>0</v>
          </cell>
          <cell r="K22">
            <v>0</v>
          </cell>
          <cell r="L22">
            <v>0</v>
          </cell>
          <cell r="M22">
            <v>14750849</v>
          </cell>
        </row>
        <row r="23">
          <cell r="B23" t="str">
            <v>보험료</v>
          </cell>
          <cell r="C23">
            <v>22303215</v>
          </cell>
          <cell r="D23">
            <v>55660795</v>
          </cell>
          <cell r="E23">
            <v>97303212</v>
          </cell>
          <cell r="F23">
            <v>29042175</v>
          </cell>
          <cell r="G23">
            <v>71112662</v>
          </cell>
          <cell r="H23">
            <v>12279356</v>
          </cell>
          <cell r="I23">
            <v>71270386</v>
          </cell>
          <cell r="J23">
            <v>879936</v>
          </cell>
          <cell r="K23">
            <v>7994994</v>
          </cell>
          <cell r="L23">
            <v>0</v>
          </cell>
          <cell r="M23">
            <v>367846731</v>
          </cell>
        </row>
        <row r="24">
          <cell r="B24" t="str">
            <v>접대비</v>
          </cell>
          <cell r="C24">
            <v>0</v>
          </cell>
          <cell r="D24">
            <v>6801900</v>
          </cell>
          <cell r="E24">
            <v>0</v>
          </cell>
          <cell r="F24">
            <v>3463600</v>
          </cell>
          <cell r="G24">
            <v>10281000</v>
          </cell>
          <cell r="H24">
            <v>3400000</v>
          </cell>
          <cell r="I24">
            <v>5024700</v>
          </cell>
          <cell r="J24">
            <v>0</v>
          </cell>
          <cell r="K24">
            <v>0</v>
          </cell>
          <cell r="L24">
            <v>0</v>
          </cell>
          <cell r="M24">
            <v>28971200</v>
          </cell>
        </row>
        <row r="25">
          <cell r="B25" t="str">
            <v>광고선전비</v>
          </cell>
          <cell r="C25">
            <v>0</v>
          </cell>
          <cell r="D25">
            <v>3424000</v>
          </cell>
          <cell r="E25">
            <v>0</v>
          </cell>
          <cell r="F25">
            <v>7500000</v>
          </cell>
          <cell r="G25">
            <v>0</v>
          </cell>
          <cell r="H25">
            <v>180000</v>
          </cell>
          <cell r="I25">
            <v>4600000</v>
          </cell>
          <cell r="J25">
            <v>0</v>
          </cell>
          <cell r="K25">
            <v>0</v>
          </cell>
          <cell r="L25">
            <v>0</v>
          </cell>
          <cell r="M25">
            <v>15704000</v>
          </cell>
        </row>
        <row r="26">
          <cell r="B26" t="str">
            <v>운반비</v>
          </cell>
          <cell r="C26">
            <v>1905000</v>
          </cell>
          <cell r="D26">
            <v>7700000</v>
          </cell>
          <cell r="E26">
            <v>24500</v>
          </cell>
          <cell r="F26">
            <v>3225000</v>
          </cell>
          <cell r="G26">
            <v>45230480</v>
          </cell>
          <cell r="H26">
            <v>8355500</v>
          </cell>
          <cell r="I26">
            <v>18542000</v>
          </cell>
          <cell r="J26">
            <v>0</v>
          </cell>
          <cell r="K26">
            <v>0</v>
          </cell>
          <cell r="L26">
            <v>0</v>
          </cell>
          <cell r="M26">
            <v>84982480</v>
          </cell>
        </row>
        <row r="27">
          <cell r="B27" t="str">
            <v>장비유지비</v>
          </cell>
          <cell r="C27">
            <v>0</v>
          </cell>
          <cell r="D27">
            <v>5615000</v>
          </cell>
          <cell r="E27">
            <v>0</v>
          </cell>
          <cell r="F27">
            <v>0</v>
          </cell>
          <cell r="G27">
            <v>3430000</v>
          </cell>
          <cell r="H27">
            <v>1092600</v>
          </cell>
          <cell r="I27">
            <v>1201309</v>
          </cell>
          <cell r="J27">
            <v>0</v>
          </cell>
          <cell r="K27">
            <v>0</v>
          </cell>
          <cell r="L27">
            <v>0</v>
          </cell>
          <cell r="M27">
            <v>11338909</v>
          </cell>
        </row>
        <row r="28">
          <cell r="B28" t="str">
            <v>차량유지비</v>
          </cell>
          <cell r="C28">
            <v>1364700</v>
          </cell>
          <cell r="D28">
            <v>1966315</v>
          </cell>
          <cell r="E28">
            <v>1549003</v>
          </cell>
          <cell r="F28">
            <v>2268399</v>
          </cell>
          <cell r="G28">
            <v>3440461</v>
          </cell>
          <cell r="H28">
            <v>1215637</v>
          </cell>
          <cell r="I28">
            <v>3389643</v>
          </cell>
          <cell r="J28">
            <v>0</v>
          </cell>
          <cell r="K28">
            <v>0</v>
          </cell>
          <cell r="L28">
            <v>0</v>
          </cell>
          <cell r="M28">
            <v>15194158</v>
          </cell>
        </row>
        <row r="29">
          <cell r="B29" t="str">
            <v>소모품비</v>
          </cell>
          <cell r="C29">
            <v>549250</v>
          </cell>
          <cell r="D29">
            <v>2004290</v>
          </cell>
          <cell r="E29">
            <v>1674130</v>
          </cell>
          <cell r="F29">
            <v>4367670</v>
          </cell>
          <cell r="G29">
            <v>4097790</v>
          </cell>
          <cell r="H29">
            <v>1161920</v>
          </cell>
          <cell r="I29">
            <v>3345280</v>
          </cell>
          <cell r="J29">
            <v>0</v>
          </cell>
          <cell r="K29">
            <v>0</v>
          </cell>
          <cell r="L29">
            <v>0</v>
          </cell>
          <cell r="M29">
            <v>17200330</v>
          </cell>
        </row>
        <row r="30">
          <cell r="B30" t="str">
            <v>지급수수료</v>
          </cell>
          <cell r="C30">
            <v>69942400</v>
          </cell>
          <cell r="D30">
            <v>249679620</v>
          </cell>
          <cell r="E30">
            <v>4008000</v>
          </cell>
          <cell r="F30">
            <v>45487010</v>
          </cell>
          <cell r="G30">
            <v>400379750</v>
          </cell>
          <cell r="H30">
            <v>380501160</v>
          </cell>
          <cell r="I30">
            <v>273113660</v>
          </cell>
          <cell r="J30">
            <v>0</v>
          </cell>
          <cell r="K30">
            <v>34900000</v>
          </cell>
          <cell r="L30">
            <v>70000000</v>
          </cell>
          <cell r="M30">
            <v>1528011600</v>
          </cell>
        </row>
        <row r="31">
          <cell r="B31" t="str">
            <v>도서인쇄비</v>
          </cell>
          <cell r="C31">
            <v>341430</v>
          </cell>
          <cell r="D31">
            <v>1742400</v>
          </cell>
          <cell r="E31">
            <v>446700</v>
          </cell>
          <cell r="F31">
            <v>1572270</v>
          </cell>
          <cell r="G31">
            <v>2235010</v>
          </cell>
          <cell r="H31">
            <v>1114200</v>
          </cell>
          <cell r="I31">
            <v>3389970</v>
          </cell>
          <cell r="J31">
            <v>0</v>
          </cell>
          <cell r="K31">
            <v>0</v>
          </cell>
          <cell r="L31">
            <v>0</v>
          </cell>
          <cell r="M31">
            <v>10841980</v>
          </cell>
        </row>
        <row r="32">
          <cell r="B32" t="str">
            <v>보상비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35100000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35100000</v>
          </cell>
        </row>
        <row r="33">
          <cell r="B33" t="str">
            <v>안전관리비</v>
          </cell>
          <cell r="C33">
            <v>450000</v>
          </cell>
          <cell r="D33">
            <v>8031400</v>
          </cell>
          <cell r="E33">
            <v>217200</v>
          </cell>
          <cell r="F33">
            <v>4831364</v>
          </cell>
          <cell r="G33">
            <v>8712250</v>
          </cell>
          <cell r="H33">
            <v>5235450</v>
          </cell>
          <cell r="I33">
            <v>32358382</v>
          </cell>
          <cell r="J33">
            <v>0</v>
          </cell>
          <cell r="K33">
            <v>0</v>
          </cell>
          <cell r="L33">
            <v>0</v>
          </cell>
          <cell r="M33">
            <v>59836046</v>
          </cell>
        </row>
        <row r="34">
          <cell r="B34" t="str">
            <v>잡비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>
            <v>2513689802</v>
          </cell>
          <cell r="D35">
            <v>7467973960</v>
          </cell>
          <cell r="E35">
            <v>10371635557</v>
          </cell>
          <cell r="F35">
            <v>2920912437</v>
          </cell>
          <cell r="G35">
            <v>10428662165</v>
          </cell>
          <cell r="H35">
            <v>1901870956</v>
          </cell>
          <cell r="I35">
            <v>9175793112</v>
          </cell>
          <cell r="J35">
            <v>204427696</v>
          </cell>
          <cell r="K35">
            <v>889768453</v>
          </cell>
          <cell r="L35">
            <v>70000000</v>
          </cell>
          <cell r="M35">
            <v>45944734138</v>
          </cell>
        </row>
        <row r="36">
          <cell r="B36" t="str">
            <v>하자보수충당금전입액</v>
          </cell>
          <cell r="C36">
            <v>25027300</v>
          </cell>
          <cell r="D36">
            <v>0</v>
          </cell>
          <cell r="E36">
            <v>0</v>
          </cell>
          <cell r="F36">
            <v>0</v>
          </cell>
          <cell r="G36">
            <v>106612400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131639700</v>
          </cell>
        </row>
        <row r="37">
          <cell r="B37" t="str">
            <v>이자비용</v>
          </cell>
          <cell r="C37">
            <v>501261005</v>
          </cell>
          <cell r="D37">
            <v>1648091526</v>
          </cell>
          <cell r="E37">
            <v>2655016453</v>
          </cell>
          <cell r="F37">
            <v>505593896</v>
          </cell>
          <cell r="G37">
            <v>2157800782</v>
          </cell>
          <cell r="H37">
            <v>388441285</v>
          </cell>
          <cell r="I37">
            <v>1112087649</v>
          </cell>
          <cell r="J37">
            <v>0</v>
          </cell>
          <cell r="K37">
            <v>158157586</v>
          </cell>
          <cell r="L37">
            <v>0</v>
          </cell>
          <cell r="M37">
            <v>9126450182</v>
          </cell>
        </row>
        <row r="38">
          <cell r="C38">
            <v>3039978107</v>
          </cell>
          <cell r="D38">
            <v>9116065486</v>
          </cell>
          <cell r="E38">
            <v>13026652010</v>
          </cell>
          <cell r="F38">
            <v>3426506333</v>
          </cell>
          <cell r="G38">
            <v>12693075347</v>
          </cell>
          <cell r="H38">
            <v>2290312241</v>
          </cell>
          <cell r="I38">
            <v>10287880761</v>
          </cell>
          <cell r="J38">
            <v>204427696</v>
          </cell>
          <cell r="K38">
            <v>1047926039</v>
          </cell>
          <cell r="L38">
            <v>70000000</v>
          </cell>
          <cell r="M38">
            <v>55202824020</v>
          </cell>
        </row>
        <row r="39">
          <cell r="B39" t="str">
            <v>공사손실충당금전입액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Material"/>
      <sheetName val="연도별환율"/>
      <sheetName val="주요경영지표"/>
      <sheetName val="재무제표"/>
      <sheetName val="이익잉여금처분계산서"/>
      <sheetName val="자본변동표"/>
      <sheetName val="명세서첨부1"/>
      <sheetName val="명세서첨부2"/>
      <sheetName val="회사제시BS"/>
      <sheetName val="회사제시IS"/>
      <sheetName val="수정사항"/>
      <sheetName val="법인세계산"/>
      <sheetName val="IS"/>
      <sheetName val="BS"/>
      <sheetName val="현금정산표"/>
      <sheetName val="FOOTNOTE_2008"/>
      <sheetName val="Fund2008"/>
      <sheetName val="TB"/>
      <sheetName val="A"/>
      <sheetName val="B"/>
      <sheetName val="C"/>
      <sheetName val="D"/>
      <sheetName val="F"/>
      <sheetName val="E"/>
      <sheetName val="G"/>
      <sheetName val="H"/>
      <sheetName val="I"/>
      <sheetName val="AA"/>
      <sheetName val="BB"/>
      <sheetName val="CC"/>
      <sheetName val="EE"/>
      <sheetName val="FF"/>
      <sheetName val="LL"/>
      <sheetName val="GG"/>
      <sheetName val="P"/>
      <sheetName val="Q"/>
      <sheetName val="R"/>
      <sheetName val="S"/>
      <sheetName val="T"/>
      <sheetName val="U"/>
      <sheetName val="CL"/>
      <sheetName val="DER"/>
      <sheetName val="TUL"/>
    </sheetNames>
    <sheetDataSet>
      <sheetData sheetId="0">
        <row r="2">
          <cell r="C2" t="str">
            <v>(재)한국여성재단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12">
          <cell r="F12">
            <v>1391177</v>
          </cell>
        </row>
      </sheetData>
      <sheetData sheetId="10">
        <row r="9">
          <cell r="L9">
            <v>4463187159</v>
          </cell>
        </row>
        <row r="22">
          <cell r="C22" t="str">
            <v>배분사업비/목적사업지원금</v>
          </cell>
        </row>
        <row r="23">
          <cell r="C23" t="str">
            <v>배분사업비/경비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Material"/>
      <sheetName val="연도별환율"/>
      <sheetName val="Footnote"/>
      <sheetName val="재무제표"/>
      <sheetName val="자본변동표"/>
      <sheetName val="CF"/>
      <sheetName val="CF 보고서"/>
      <sheetName val="CF정산표"/>
      <sheetName val="PA(R)JE"/>
      <sheetName val="FS_worksheet"/>
      <sheetName val="BS(회사)"/>
      <sheetName val="IS(회사)"/>
      <sheetName val="CO"/>
      <sheetName val="TB"/>
      <sheetName val="분석적검토"/>
      <sheetName val="TableofContents"/>
      <sheetName val="Directions-A"/>
      <sheetName val="A"/>
      <sheetName val="Directions-B"/>
      <sheetName val="B"/>
      <sheetName val="Directions-C"/>
      <sheetName val="C"/>
      <sheetName val="Directions-D"/>
      <sheetName val="D"/>
      <sheetName val="Directions-E"/>
      <sheetName val="Directions-E100"/>
      <sheetName val="E"/>
      <sheetName val="Directions-F"/>
      <sheetName val="F"/>
      <sheetName val="A100(BCF)"/>
      <sheetName val="A200"/>
      <sheetName val="A300"/>
      <sheetName val="Sheet3"/>
      <sheetName val="Directions-G"/>
      <sheetName val="G"/>
      <sheetName val="G100"/>
      <sheetName val="G200"/>
      <sheetName val="G300"/>
      <sheetName val="Directions-H"/>
      <sheetName val="H"/>
      <sheetName val="Directions-I"/>
      <sheetName val="I"/>
      <sheetName val="Directions-AA"/>
      <sheetName val="AA"/>
      <sheetName val="Directions-BB"/>
      <sheetName val="BB"/>
      <sheetName val="Directions-CC"/>
      <sheetName val="CC"/>
      <sheetName val="H100"/>
      <sheetName val="H200"/>
      <sheetName val="H300"/>
      <sheetName val="Directions-EE"/>
      <sheetName val="EE"/>
      <sheetName val="Directions-FF"/>
      <sheetName val="FF"/>
      <sheetName val="EE100"/>
      <sheetName val="EE200"/>
      <sheetName val="TUL"/>
      <sheetName val="Directions-GG"/>
      <sheetName val="GG"/>
      <sheetName val="Directions-P"/>
      <sheetName val="P"/>
      <sheetName val="Directions-Q"/>
      <sheetName val="Q"/>
      <sheetName val="Directions-R"/>
      <sheetName val="R"/>
      <sheetName val="Directions-S"/>
      <sheetName val="S"/>
      <sheetName val="U"/>
      <sheetName val="CL"/>
      <sheetName val="DER"/>
      <sheetName val="Directions-T"/>
      <sheetName val="T"/>
      <sheetName val="T(세무조정)"/>
      <sheetName val="T201"/>
      <sheetName val="T202"/>
      <sheetName val="T203"/>
      <sheetName val="T204"/>
      <sheetName val="T205"/>
      <sheetName val="R100"/>
      <sheetName val="R200"/>
      <sheetName val="R300"/>
      <sheetName val="Sheet18"/>
      <sheetName val="Sheet1"/>
      <sheetName val="판관비원장"/>
      <sheetName val="판관비원장 (2)"/>
    </sheetNames>
    <sheetDataSet>
      <sheetData sheetId="0">
        <row r="2">
          <cell r="C2" t="str">
            <v>칸서스파트너스㈜</v>
          </cell>
        </row>
        <row r="9">
          <cell r="C9" t="str">
            <v>A : 12-31-2011</v>
          </cell>
        </row>
        <row r="14">
          <cell r="C14">
            <v>40561</v>
          </cell>
        </row>
        <row r="17">
          <cell r="C17" t="str">
            <v>Kbj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">
          <cell r="B8" t="str">
            <v>A</v>
          </cell>
        </row>
        <row r="15">
          <cell r="B15" t="str">
            <v>G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7001">
          <cell r="F27001">
            <v>3650000</v>
          </cell>
        </row>
        <row r="27005">
          <cell r="F27005">
            <v>1400000</v>
          </cell>
        </row>
        <row r="27012">
          <cell r="F27012">
            <v>30481610</v>
          </cell>
        </row>
        <row r="27020">
          <cell r="F27020">
            <v>14456870</v>
          </cell>
        </row>
        <row r="27029">
          <cell r="F27029">
            <v>12186260</v>
          </cell>
        </row>
        <row r="27040">
          <cell r="F27040">
            <v>8760000</v>
          </cell>
        </row>
        <row r="27061">
          <cell r="F27061">
            <v>18770000</v>
          </cell>
        </row>
        <row r="27068">
          <cell r="F27068">
            <v>7691250</v>
          </cell>
        </row>
        <row r="27076">
          <cell r="F27076">
            <v>14098750</v>
          </cell>
        </row>
        <row r="27085">
          <cell r="F27085">
            <v>12147400</v>
          </cell>
        </row>
        <row r="27108">
          <cell r="F27108">
            <v>18645000</v>
          </cell>
        </row>
        <row r="27127">
          <cell r="F27127">
            <v>15630260</v>
          </cell>
        </row>
        <row r="27522">
          <cell r="F27522">
            <v>36495480</v>
          </cell>
        </row>
        <row r="27527">
          <cell r="F27527">
            <v>37700000</v>
          </cell>
        </row>
        <row r="27535">
          <cell r="F27535">
            <v>8818390</v>
          </cell>
        </row>
        <row r="27544">
          <cell r="F27544">
            <v>26190000</v>
          </cell>
        </row>
        <row r="27554">
          <cell r="F27554">
            <v>28255610</v>
          </cell>
        </row>
        <row r="27577">
          <cell r="F27577">
            <v>31540000</v>
          </cell>
        </row>
        <row r="27589">
          <cell r="F27589">
            <v>19970000</v>
          </cell>
        </row>
        <row r="27598">
          <cell r="F27598">
            <v>32908750</v>
          </cell>
        </row>
        <row r="27608">
          <cell r="F27608">
            <v>27761250</v>
          </cell>
        </row>
        <row r="27628">
          <cell r="F27628">
            <v>29252600</v>
          </cell>
        </row>
        <row r="27640">
          <cell r="F27640">
            <v>25235000</v>
          </cell>
        </row>
        <row r="27657">
          <cell r="F27657">
            <v>28275060</v>
          </cell>
        </row>
        <row r="27779">
          <cell r="F27779">
            <v>560000</v>
          </cell>
        </row>
        <row r="27782">
          <cell r="F27782">
            <v>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S96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1.외주공사"/>
      <sheetName val="2.직영공사"/>
      <sheetName val="INMD1198"/>
      <sheetName val="INFG1198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>
        <row r="2">
          <cell r="C2" t="str">
            <v>유광암</v>
          </cell>
          <cell r="D2" t="str">
            <v>961230</v>
          </cell>
          <cell r="E2" t="str">
            <v>580905-1031231</v>
          </cell>
          <cell r="F2" t="str">
            <v>서울 강서 화곡 474-11 2/4</v>
          </cell>
          <cell r="G2">
            <v>969800</v>
          </cell>
          <cell r="H2">
            <v>969800</v>
          </cell>
          <cell r="I2">
            <v>145470</v>
          </cell>
        </row>
        <row r="3">
          <cell r="C3" t="str">
            <v>유광암</v>
          </cell>
          <cell r="D3" t="str">
            <v>980626</v>
          </cell>
          <cell r="E3" t="str">
            <v>580905-1031231</v>
          </cell>
          <cell r="F3" t="str">
            <v>서울 강서 화곡 474-11 2/4</v>
          </cell>
          <cell r="G3">
            <v>21550</v>
          </cell>
          <cell r="H3">
            <v>991350</v>
          </cell>
          <cell r="I3">
            <v>0</v>
          </cell>
        </row>
        <row r="4">
          <cell r="C4" t="str">
            <v>유광암</v>
          </cell>
          <cell r="D4" t="str">
            <v>980626</v>
          </cell>
          <cell r="E4" t="str">
            <v>580905-1031231</v>
          </cell>
          <cell r="F4" t="str">
            <v>서울 강서 화곡 474-11 2/4</v>
          </cell>
          <cell r="G4">
            <v>18345000</v>
          </cell>
          <cell r="H4">
            <v>19336350</v>
          </cell>
          <cell r="I4">
            <v>2384850</v>
          </cell>
        </row>
        <row r="5">
          <cell r="I5">
            <v>2530320</v>
          </cell>
        </row>
        <row r="6">
          <cell r="C6" t="str">
            <v>유승만</v>
          </cell>
          <cell r="D6" t="str">
            <v>930812</v>
          </cell>
          <cell r="E6" t="str">
            <v>230818-1041612</v>
          </cell>
          <cell r="F6" t="str">
            <v>경기 고양 일산 주엽 12 17/8 문촌마을 804-101</v>
          </cell>
          <cell r="G6">
            <v>49706010</v>
          </cell>
          <cell r="H6">
            <v>133145269</v>
          </cell>
          <cell r="I6">
            <v>24499041</v>
          </cell>
        </row>
        <row r="7">
          <cell r="C7" t="str">
            <v>유승만</v>
          </cell>
          <cell r="D7" t="str">
            <v>941220</v>
          </cell>
          <cell r="E7" t="str">
            <v>230818-1041612</v>
          </cell>
          <cell r="F7" t="str">
            <v>경기 고양 일산 주엽 12 17/8 문촌마을 804-101</v>
          </cell>
          <cell r="G7">
            <v>41488272</v>
          </cell>
          <cell r="H7">
            <v>174733541</v>
          </cell>
          <cell r="I7">
            <v>15726690</v>
          </cell>
        </row>
        <row r="8">
          <cell r="C8" t="str">
            <v>유승만</v>
          </cell>
          <cell r="D8" t="str">
            <v>951130</v>
          </cell>
          <cell r="E8" t="str">
            <v>230818-1041612</v>
          </cell>
          <cell r="F8" t="str">
            <v>경기 고양 일산 주엽 12 17/8 문촌마을 804-101</v>
          </cell>
          <cell r="G8">
            <v>44172944</v>
          </cell>
          <cell r="H8">
            <v>218906485</v>
          </cell>
          <cell r="I8">
            <v>22504712</v>
          </cell>
        </row>
        <row r="9">
          <cell r="C9" t="str">
            <v>유승만</v>
          </cell>
          <cell r="D9" t="str">
            <v>980626</v>
          </cell>
          <cell r="E9" t="str">
            <v>230818-1041612</v>
          </cell>
          <cell r="F9" t="str">
            <v>경기 고양 일산 주엽 12 17/8 문촌마을 804-101</v>
          </cell>
          <cell r="G9">
            <v>15895280</v>
          </cell>
          <cell r="H9">
            <v>151371506</v>
          </cell>
          <cell r="I9">
            <v>2767664</v>
          </cell>
        </row>
        <row r="10">
          <cell r="I10">
            <v>65498107</v>
          </cell>
        </row>
        <row r="11">
          <cell r="C11" t="str">
            <v>최상무</v>
          </cell>
          <cell r="D11" t="str">
            <v>930812</v>
          </cell>
          <cell r="E11" t="str">
            <v>271001-1068911</v>
          </cell>
          <cell r="F11" t="str">
            <v>경기 고양 일산 대화 2183-6 30/4</v>
          </cell>
          <cell r="G11">
            <v>34430675</v>
          </cell>
          <cell r="H11">
            <v>456351446</v>
          </cell>
          <cell r="I11">
            <v>22712570</v>
          </cell>
        </row>
        <row r="12">
          <cell r="C12" t="str">
            <v>최상무</v>
          </cell>
          <cell r="D12" t="str">
            <v>931231</v>
          </cell>
          <cell r="E12" t="str">
            <v>271001-1068911</v>
          </cell>
          <cell r="F12" t="str">
            <v>경기 고양 일산 대화 2183-6 30/4</v>
          </cell>
          <cell r="G12">
            <v>20000000</v>
          </cell>
          <cell r="H12">
            <v>476351446</v>
          </cell>
          <cell r="I12">
            <v>13206090</v>
          </cell>
        </row>
        <row r="13">
          <cell r="C13" t="str">
            <v>최상무</v>
          </cell>
          <cell r="D13" t="str">
            <v>941220</v>
          </cell>
          <cell r="E13" t="str">
            <v>271001-1068911</v>
          </cell>
          <cell r="F13" t="str">
            <v>경기 고양 일산 대화 2183-6 30/4</v>
          </cell>
          <cell r="G13">
            <v>28738360</v>
          </cell>
          <cell r="H13">
            <v>218349806</v>
          </cell>
          <cell r="I13">
            <v>11731420</v>
          </cell>
        </row>
        <row r="14">
          <cell r="C14" t="str">
            <v>최상무</v>
          </cell>
          <cell r="D14" t="str">
            <v>950817</v>
          </cell>
          <cell r="E14" t="str">
            <v>271001-1068911</v>
          </cell>
          <cell r="F14" t="str">
            <v>경기 고양 일산 대화 2183-6 30/4</v>
          </cell>
          <cell r="G14">
            <v>100000000</v>
          </cell>
          <cell r="H14">
            <v>318349806</v>
          </cell>
          <cell r="I14">
            <v>53932740</v>
          </cell>
        </row>
        <row r="15">
          <cell r="C15" t="str">
            <v>최상무</v>
          </cell>
          <cell r="D15" t="str">
            <v>951130</v>
          </cell>
          <cell r="E15" t="str">
            <v>271001-1068911</v>
          </cell>
          <cell r="F15" t="str">
            <v>경기 고양 일산 대화 2183-6 30/4</v>
          </cell>
          <cell r="G15">
            <v>30592808</v>
          </cell>
          <cell r="H15">
            <v>386442614</v>
          </cell>
          <cell r="I15">
            <v>19905990</v>
          </cell>
        </row>
        <row r="16">
          <cell r="C16" t="str">
            <v>최상무</v>
          </cell>
          <cell r="D16" t="str">
            <v>951130</v>
          </cell>
          <cell r="E16" t="str">
            <v>271001-1068911</v>
          </cell>
          <cell r="F16" t="str">
            <v>경기 고양 일산 대화 2183-6 30/4</v>
          </cell>
          <cell r="G16">
            <v>37500000</v>
          </cell>
          <cell r="H16">
            <v>355849806</v>
          </cell>
          <cell r="I16">
            <v>24321910</v>
          </cell>
        </row>
        <row r="17">
          <cell r="C17" t="str">
            <v>최상무</v>
          </cell>
          <cell r="D17" t="str">
            <v>980626</v>
          </cell>
          <cell r="E17" t="str">
            <v>271001-1068911</v>
          </cell>
          <cell r="F17" t="str">
            <v>경기 고양 일산 대화 2183-6 30/4</v>
          </cell>
          <cell r="G17">
            <v>20584560</v>
          </cell>
          <cell r="H17">
            <v>271846403</v>
          </cell>
          <cell r="I17">
            <v>4367600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271846403</v>
          </cell>
          <cell r="H18">
            <v>2483541327</v>
          </cell>
          <cell r="I18">
            <v>150178320</v>
          </cell>
        </row>
        <row r="19">
          <cell r="C19" t="str">
            <v>신언조</v>
          </cell>
          <cell r="D19" t="str">
            <v>000517</v>
          </cell>
          <cell r="E19" t="str">
            <v>531001-1067011</v>
          </cell>
          <cell r="F19" t="str">
            <v>서울 관악 신림 1694 28/2 신림현대(아) 109-503</v>
          </cell>
          <cell r="G19">
            <v>162520344</v>
          </cell>
          <cell r="H19">
            <v>433140741</v>
          </cell>
          <cell r="I19">
            <v>41504862</v>
          </cell>
        </row>
        <row r="20">
          <cell r="C20" t="str">
            <v>신언조</v>
          </cell>
          <cell r="D20" t="str">
            <v>910430</v>
          </cell>
          <cell r="E20" t="str">
            <v>531001-1067011</v>
          </cell>
          <cell r="F20" t="str">
            <v>서울 관악 신림 1694 28/2 신림현대(아) 109-503</v>
          </cell>
          <cell r="G20">
            <v>6973000</v>
          </cell>
          <cell r="H20">
            <v>6973000</v>
          </cell>
          <cell r="I20">
            <v>1568925</v>
          </cell>
        </row>
        <row r="21">
          <cell r="C21" t="str">
            <v>신언조</v>
          </cell>
          <cell r="D21" t="str">
            <v>910901</v>
          </cell>
          <cell r="E21" t="str">
            <v>531001-1067011</v>
          </cell>
          <cell r="F21" t="str">
            <v>서울 관악 신림 1694 28/2 신림현대(아) 109-503</v>
          </cell>
          <cell r="G21">
            <v>7579140</v>
          </cell>
          <cell r="H21">
            <v>14552140</v>
          </cell>
          <cell r="I21">
            <v>2344502</v>
          </cell>
        </row>
        <row r="22">
          <cell r="C22" t="str">
            <v>신언조</v>
          </cell>
          <cell r="D22" t="str">
            <v>951103</v>
          </cell>
          <cell r="E22" t="str">
            <v>531001-1067011</v>
          </cell>
          <cell r="F22" t="str">
            <v>서울 관악 신림 1694 28/2 신림현대(아) 109-503</v>
          </cell>
          <cell r="G22">
            <v>80086624</v>
          </cell>
          <cell r="H22">
            <v>94638764</v>
          </cell>
          <cell r="I22">
            <v>28393990</v>
          </cell>
        </row>
        <row r="23">
          <cell r="C23" t="str">
            <v>신언조</v>
          </cell>
          <cell r="D23" t="str">
            <v>951130</v>
          </cell>
          <cell r="E23" t="str">
            <v>531001-1067011</v>
          </cell>
          <cell r="F23" t="str">
            <v>서울 관악 신림 1694 28/2 신림현대(아) 109-503</v>
          </cell>
          <cell r="G23">
            <v>6370928</v>
          </cell>
          <cell r="H23">
            <v>101009692</v>
          </cell>
          <cell r="I23">
            <v>2363869</v>
          </cell>
        </row>
        <row r="24">
          <cell r="C24" t="str">
            <v>신언조</v>
          </cell>
          <cell r="D24" t="str">
            <v>960501</v>
          </cell>
          <cell r="E24" t="str">
            <v>531001-1067011</v>
          </cell>
          <cell r="F24" t="str">
            <v>서울 관악 신림 1694 28/2 신림현대(아) 109-503</v>
          </cell>
          <cell r="G24">
            <v>10000000</v>
          </cell>
          <cell r="H24">
            <v>104036692</v>
          </cell>
          <cell r="I24">
            <v>2711640</v>
          </cell>
        </row>
        <row r="25">
          <cell r="C25" t="str">
            <v>신언조</v>
          </cell>
          <cell r="D25" t="str">
            <v>971230</v>
          </cell>
          <cell r="E25" t="str">
            <v>531001-1067011</v>
          </cell>
          <cell r="F25" t="str">
            <v>서울 관악 신림 1694 28/2 신림현대(아) 109-503</v>
          </cell>
          <cell r="G25">
            <v>38215100</v>
          </cell>
          <cell r="H25">
            <v>134672652</v>
          </cell>
          <cell r="I25">
            <v>6247008</v>
          </cell>
        </row>
        <row r="26">
          <cell r="C26" t="str">
            <v>신언조</v>
          </cell>
          <cell r="D26" t="str">
            <v>980515</v>
          </cell>
          <cell r="E26" t="str">
            <v>531001-1067011</v>
          </cell>
          <cell r="F26" t="str">
            <v>서울 관악 신림 1694 28/2 신림현대(아) 109-503</v>
          </cell>
          <cell r="G26">
            <v>13500000</v>
          </cell>
          <cell r="H26">
            <v>148172652</v>
          </cell>
          <cell r="I26">
            <v>3327780</v>
          </cell>
        </row>
        <row r="27">
          <cell r="C27" t="str">
            <v>신언조</v>
          </cell>
          <cell r="D27" t="str">
            <v>980521</v>
          </cell>
          <cell r="E27" t="str">
            <v>531001-1067011</v>
          </cell>
          <cell r="F27" t="str">
            <v>서울 관악 신림 1694 28/2 신림현대(아) 109-503</v>
          </cell>
          <cell r="G27">
            <v>8477800</v>
          </cell>
          <cell r="H27">
            <v>156650452</v>
          </cell>
          <cell r="I27">
            <v>2095990</v>
          </cell>
        </row>
        <row r="28">
          <cell r="C28" t="str">
            <v>신언조</v>
          </cell>
          <cell r="D28" t="str">
            <v>980608</v>
          </cell>
          <cell r="E28" t="str">
            <v>531001-1067011</v>
          </cell>
          <cell r="F28" t="str">
            <v>서울 관악 신림 1694 28/2 신림현대(아) 109-503</v>
          </cell>
          <cell r="G28">
            <v>35604400</v>
          </cell>
          <cell r="H28">
            <v>192254852</v>
          </cell>
          <cell r="I28">
            <v>8886756</v>
          </cell>
        </row>
        <row r="29">
          <cell r="C29" t="str">
            <v>신언조</v>
          </cell>
          <cell r="D29" t="str">
            <v>980613</v>
          </cell>
          <cell r="E29" t="str">
            <v>531001-1067011</v>
          </cell>
          <cell r="F29" t="str">
            <v>서울 관악 신림 1694 28/2 신림현대(아) 109-503</v>
          </cell>
          <cell r="G29">
            <v>37440865</v>
          </cell>
          <cell r="H29">
            <v>229695717</v>
          </cell>
          <cell r="I29">
            <v>9408621</v>
          </cell>
        </row>
        <row r="30">
          <cell r="C30" t="str">
            <v>신언조</v>
          </cell>
          <cell r="D30" t="str">
            <v>980626</v>
          </cell>
          <cell r="E30" t="str">
            <v>531001-1067011</v>
          </cell>
          <cell r="F30" t="str">
            <v>서울 관악 신림 1694 28/2 신림현대(아) 109-503</v>
          </cell>
          <cell r="G30">
            <v>6439140</v>
          </cell>
          <cell r="H30">
            <v>236134857</v>
          </cell>
          <cell r="I30">
            <v>1619639</v>
          </cell>
        </row>
        <row r="31">
          <cell r="C31" t="str">
            <v>신언조</v>
          </cell>
          <cell r="D31" t="str">
            <v>980714</v>
          </cell>
          <cell r="E31" t="str">
            <v>531001-1067011</v>
          </cell>
          <cell r="F31" t="str">
            <v>서울 관악 신림 1694 28/2 신림현대(아) 109-503</v>
          </cell>
          <cell r="G31">
            <v>30692540</v>
          </cell>
          <cell r="H31">
            <v>266827397</v>
          </cell>
          <cell r="I31">
            <v>7750005</v>
          </cell>
        </row>
        <row r="32">
          <cell r="C32" t="str">
            <v>신언조</v>
          </cell>
          <cell r="D32" t="str">
            <v>980727</v>
          </cell>
          <cell r="E32" t="str">
            <v>531001-1067011</v>
          </cell>
          <cell r="F32" t="str">
            <v>서울 관악 신림 1694 28/2 신림현대(아) 109-503</v>
          </cell>
          <cell r="G32">
            <v>3793000</v>
          </cell>
          <cell r="H32">
            <v>270620397</v>
          </cell>
          <cell r="I32">
            <v>958148</v>
          </cell>
        </row>
        <row r="33">
          <cell r="I33">
            <v>119181735</v>
          </cell>
        </row>
        <row r="34">
          <cell r="C34" t="str">
            <v>김봉춘</v>
          </cell>
          <cell r="D34" t="str">
            <v>961230</v>
          </cell>
          <cell r="E34" t="str">
            <v>590808-1148715</v>
          </cell>
          <cell r="F34" t="str">
            <v>인천 연수 연수 582 22/2 풍림(아) 102-405</v>
          </cell>
          <cell r="G34">
            <v>969800</v>
          </cell>
          <cell r="H34">
            <v>969800</v>
          </cell>
          <cell r="I34">
            <v>145470</v>
          </cell>
        </row>
        <row r="35">
          <cell r="C35" t="str">
            <v>김봉춘</v>
          </cell>
          <cell r="D35" t="str">
            <v>980626</v>
          </cell>
          <cell r="E35" t="str">
            <v>590808-1148715</v>
          </cell>
          <cell r="F35" t="str">
            <v>인천 연수 연수 582 22/2 풍림(아) 102-405</v>
          </cell>
          <cell r="G35">
            <v>21550</v>
          </cell>
          <cell r="H35">
            <v>991350</v>
          </cell>
          <cell r="I35">
            <v>0</v>
          </cell>
        </row>
        <row r="36">
          <cell r="C36" t="str">
            <v>김봉춘</v>
          </cell>
          <cell r="D36" t="str">
            <v>981223</v>
          </cell>
          <cell r="E36" t="str">
            <v>590808-1148715</v>
          </cell>
          <cell r="F36" t="str">
            <v>인천 연수 연수 582 22/2 풍림(아) 102-405</v>
          </cell>
          <cell r="G36">
            <v>17122000</v>
          </cell>
          <cell r="H36">
            <v>18113350</v>
          </cell>
          <cell r="I36">
            <v>2225860</v>
          </cell>
        </row>
        <row r="37">
          <cell r="I37">
            <v>2371330</v>
          </cell>
        </row>
        <row r="38">
          <cell r="C38" t="str">
            <v>김현재</v>
          </cell>
          <cell r="D38" t="str">
            <v>980626</v>
          </cell>
          <cell r="E38" t="str">
            <v>580218-1140316</v>
          </cell>
          <cell r="F38" t="str">
            <v>인천 남동 만수 63-12 30/2</v>
          </cell>
          <cell r="G38">
            <v>21550</v>
          </cell>
          <cell r="H38">
            <v>991350</v>
          </cell>
          <cell r="I38">
            <v>0</v>
          </cell>
        </row>
        <row r="39">
          <cell r="C39" t="str">
            <v>김현재</v>
          </cell>
          <cell r="D39" t="str">
            <v>961230</v>
          </cell>
          <cell r="E39" t="str">
            <v>580218-1140316</v>
          </cell>
          <cell r="F39" t="str">
            <v>인천 남동 만수 63-12 30/2</v>
          </cell>
          <cell r="G39">
            <v>969800</v>
          </cell>
          <cell r="H39">
            <v>969800</v>
          </cell>
          <cell r="I39">
            <v>145470</v>
          </cell>
        </row>
        <row r="40">
          <cell r="C40" t="str">
            <v>김현재</v>
          </cell>
          <cell r="D40" t="str">
            <v>961231</v>
          </cell>
          <cell r="E40" t="str">
            <v>580218-1140317</v>
          </cell>
          <cell r="F40" t="str">
            <v>인천 남동 만수 63-12 30/3</v>
          </cell>
          <cell r="G40">
            <v>17611200</v>
          </cell>
          <cell r="H40">
            <v>18602550</v>
          </cell>
          <cell r="I40">
            <v>2289450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18602550</v>
          </cell>
          <cell r="H41">
            <v>20563700</v>
          </cell>
          <cell r="I41">
            <v>2434920</v>
          </cell>
        </row>
        <row r="42">
          <cell r="C42" t="str">
            <v>이부헌</v>
          </cell>
          <cell r="D42" t="str">
            <v>951230</v>
          </cell>
          <cell r="E42" t="str">
            <v>541010-1226835</v>
          </cell>
          <cell r="F42" t="str">
            <v>인천 연수 동춘 924 10/2 현대 2 차(아) 210-1403</v>
          </cell>
          <cell r="G42">
            <v>64062240</v>
          </cell>
          <cell r="H42">
            <v>64062240</v>
          </cell>
          <cell r="I42">
            <v>21023340</v>
          </cell>
        </row>
        <row r="43">
          <cell r="C43" t="str">
            <v>이부헌</v>
          </cell>
          <cell r="D43" t="str">
            <v>961230</v>
          </cell>
          <cell r="E43" t="str">
            <v>541010-1226835</v>
          </cell>
          <cell r="F43" t="str">
            <v>인천 연수 동춘 924 10/2 현대 2 차(아) 210-1403</v>
          </cell>
          <cell r="G43">
            <v>10667800</v>
          </cell>
          <cell r="H43">
            <v>74730040</v>
          </cell>
          <cell r="I43">
            <v>2772080</v>
          </cell>
        </row>
        <row r="44">
          <cell r="C44" t="str">
            <v>이부헌</v>
          </cell>
          <cell r="D44" t="str">
            <v>971230</v>
          </cell>
          <cell r="E44" t="str">
            <v>541010-1226835</v>
          </cell>
          <cell r="F44" t="str">
            <v>인천 연수 동춘 924 10/2 현대 2 차(아) 210-1403</v>
          </cell>
          <cell r="G44">
            <v>11698500</v>
          </cell>
          <cell r="H44">
            <v>86428540</v>
          </cell>
          <cell r="I44">
            <v>1520800</v>
          </cell>
        </row>
        <row r="45">
          <cell r="C45" t="str">
            <v>이부헌</v>
          </cell>
          <cell r="I45" t="str">
            <v>2425940</v>
          </cell>
        </row>
        <row r="46">
          <cell r="I46">
            <v>25316220</v>
          </cell>
        </row>
        <row r="47">
          <cell r="C47" t="str">
            <v>이창석</v>
          </cell>
          <cell r="D47" t="str">
            <v>961230</v>
          </cell>
          <cell r="E47" t="str">
            <v>631224-1149011</v>
          </cell>
          <cell r="F47" t="str">
            <v>인천 연수 옥련 416-1 23/1</v>
          </cell>
          <cell r="G47">
            <v>969800</v>
          </cell>
          <cell r="H47">
            <v>969800</v>
          </cell>
          <cell r="I47">
            <v>145470</v>
          </cell>
        </row>
        <row r="48">
          <cell r="C48" t="str">
            <v>이창석</v>
          </cell>
          <cell r="D48" t="str">
            <v>980626</v>
          </cell>
          <cell r="E48" t="str">
            <v>631224-1149011</v>
          </cell>
          <cell r="F48" t="str">
            <v>인천 연수 옥련 416-1 23/1</v>
          </cell>
          <cell r="G48">
            <v>21550</v>
          </cell>
          <cell r="H48">
            <v>991350</v>
          </cell>
          <cell r="I48">
            <v>0</v>
          </cell>
        </row>
        <row r="49">
          <cell r="C49" t="str">
            <v>이창석</v>
          </cell>
          <cell r="D49" t="str">
            <v>981223</v>
          </cell>
          <cell r="E49" t="str">
            <v>631224-1149011</v>
          </cell>
          <cell r="F49" t="str">
            <v>인천 연수 옥련 416-1 23/1</v>
          </cell>
          <cell r="G49">
            <v>12535750</v>
          </cell>
          <cell r="H49">
            <v>13527100</v>
          </cell>
          <cell r="I49">
            <v>1630000</v>
          </cell>
        </row>
        <row r="50">
          <cell r="I50">
            <v>1775470</v>
          </cell>
        </row>
        <row r="51">
          <cell r="C51" t="str">
            <v>김한용</v>
          </cell>
          <cell r="D51" t="str">
            <v>910430</v>
          </cell>
          <cell r="E51" t="str">
            <v>100215-1037817</v>
          </cell>
          <cell r="F51" t="str">
            <v>서울 도봉 창 805 동아그린(아) 102-310</v>
          </cell>
          <cell r="G51">
            <v>139460000</v>
          </cell>
          <cell r="H51">
            <v>139460000</v>
          </cell>
          <cell r="I51">
            <v>58216500</v>
          </cell>
        </row>
        <row r="52">
          <cell r="C52" t="str">
            <v>김한용</v>
          </cell>
          <cell r="D52" t="str">
            <v>910901</v>
          </cell>
          <cell r="E52" t="str">
            <v>100215-1037817</v>
          </cell>
          <cell r="F52" t="str">
            <v>서울 도봉 창 805 동아그린(아) 102-310</v>
          </cell>
          <cell r="G52">
            <v>9756537</v>
          </cell>
          <cell r="H52">
            <v>149216537</v>
          </cell>
          <cell r="I52">
            <v>4991410</v>
          </cell>
        </row>
        <row r="53">
          <cell r="C53" t="str">
            <v>김한용</v>
          </cell>
          <cell r="D53" t="str">
            <v>930812</v>
          </cell>
          <cell r="E53" t="str">
            <v>100215-1037817</v>
          </cell>
          <cell r="F53" t="str">
            <v>서울 도봉 창 805 동아그린(아) 102-310</v>
          </cell>
          <cell r="G53">
            <v>35406415</v>
          </cell>
          <cell r="H53">
            <v>184625952</v>
          </cell>
          <cell r="I53">
            <v>18206360</v>
          </cell>
        </row>
        <row r="54">
          <cell r="C54" t="str">
            <v>김한용</v>
          </cell>
          <cell r="D54" t="str">
            <v>941220</v>
          </cell>
          <cell r="E54" t="str">
            <v>100215-1037817</v>
          </cell>
          <cell r="F54" t="str">
            <v>서울 도봉 창 805 동아그린(아) 102-310</v>
          </cell>
          <cell r="G54">
            <v>29482348</v>
          </cell>
          <cell r="H54">
            <v>214108300</v>
          </cell>
          <cell r="I54">
            <v>11966920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214105300</v>
          </cell>
          <cell r="H55">
            <v>687410789</v>
          </cell>
          <cell r="I55">
            <v>93381190</v>
          </cell>
        </row>
        <row r="56">
          <cell r="C56" t="str">
            <v>심관섭</v>
          </cell>
          <cell r="D56" t="str">
            <v>951026</v>
          </cell>
          <cell r="E56" t="str">
            <v>470913-1017711</v>
          </cell>
          <cell r="F56" t="str">
            <v>서울 동작 상도 211-447 35/5 대광연립 나 -306</v>
          </cell>
          <cell r="G56">
            <v>79186576</v>
          </cell>
          <cell r="H56">
            <v>79186576</v>
          </cell>
          <cell r="I56">
            <v>26694960</v>
          </cell>
        </row>
        <row r="57">
          <cell r="C57" t="str">
            <v>심관섭</v>
          </cell>
          <cell r="D57" t="str">
            <v>951130</v>
          </cell>
          <cell r="E57" t="str">
            <v>470913-1017711</v>
          </cell>
          <cell r="F57" t="str">
            <v>서울 동작 상도 211-447 35/5 대광연립 나 -306</v>
          </cell>
          <cell r="G57">
            <v>6335632</v>
          </cell>
          <cell r="H57">
            <v>85522208</v>
          </cell>
          <cell r="I57">
            <v>2346220</v>
          </cell>
        </row>
        <row r="58">
          <cell r="C58" t="str">
            <v>심관섭</v>
          </cell>
          <cell r="D58" t="str">
            <v>960501</v>
          </cell>
          <cell r="E58" t="str">
            <v>470913-1017711</v>
          </cell>
          <cell r="F58" t="str">
            <v>서울 동작 상도 211-447 35/5 대광연립 나 -306</v>
          </cell>
          <cell r="G58">
            <v>10000000</v>
          </cell>
          <cell r="H58">
            <v>95522208</v>
          </cell>
          <cell r="I58">
            <v>2685930</v>
          </cell>
        </row>
        <row r="59">
          <cell r="C59" t="str">
            <v>심관섭</v>
          </cell>
          <cell r="D59" t="str">
            <v>971230</v>
          </cell>
          <cell r="E59" t="str">
            <v>470913-1017711</v>
          </cell>
          <cell r="F59" t="str">
            <v>서울 동작 상도 211-447 35/5 대광연립 나 -306</v>
          </cell>
          <cell r="G59">
            <v>569327</v>
          </cell>
          <cell r="H59">
            <v>96091635</v>
          </cell>
          <cell r="I59">
            <v>74000</v>
          </cell>
        </row>
        <row r="60">
          <cell r="C60" t="str">
            <v>심관섭</v>
          </cell>
          <cell r="D60" t="str">
            <v>980626</v>
          </cell>
          <cell r="E60" t="str">
            <v>470913-1017711</v>
          </cell>
          <cell r="F60" t="str">
            <v>서울 동작 상도 211-447 35/5 대광연립 나 -306</v>
          </cell>
          <cell r="G60">
            <v>4292760</v>
          </cell>
          <cell r="H60">
            <v>100384395</v>
          </cell>
          <cell r="I60">
            <v>600640</v>
          </cell>
        </row>
        <row r="61">
          <cell r="I61">
            <v>32401750</v>
          </cell>
        </row>
        <row r="62">
          <cell r="C62" t="str">
            <v>이천봉</v>
          </cell>
          <cell r="D62" t="str">
            <v>000424</v>
          </cell>
          <cell r="E62" t="str">
            <v>460401-1155212</v>
          </cell>
          <cell r="F62" t="str">
            <v>서울 마포 서교 366-1</v>
          </cell>
          <cell r="G62">
            <v>191088000</v>
          </cell>
          <cell r="H62">
            <v>261120245</v>
          </cell>
          <cell r="I62">
            <v>44922800</v>
          </cell>
        </row>
        <row r="63">
          <cell r="C63" t="str">
            <v>이천봉</v>
          </cell>
          <cell r="D63" t="str">
            <v>951026</v>
          </cell>
          <cell r="E63" t="str">
            <v>460401-1155212</v>
          </cell>
          <cell r="F63" t="str">
            <v>서울 마포 서교 366-1</v>
          </cell>
          <cell r="G63">
            <v>61768000</v>
          </cell>
          <cell r="H63">
            <v>61768000</v>
          </cell>
          <cell r="I63">
            <v>20163000</v>
          </cell>
        </row>
        <row r="64">
          <cell r="C64" t="str">
            <v>이천봉</v>
          </cell>
          <cell r="D64" t="str">
            <v>951130</v>
          </cell>
          <cell r="E64" t="str">
            <v>460401-1155212</v>
          </cell>
          <cell r="F64" t="str">
            <v>서울 마포 서교 366-1</v>
          </cell>
          <cell r="G64">
            <v>4941440</v>
          </cell>
          <cell r="H64">
            <v>1823410</v>
          </cell>
          <cell r="I64">
            <v>1823410</v>
          </cell>
        </row>
        <row r="65">
          <cell r="C65" t="str">
            <v>이천봉</v>
          </cell>
          <cell r="D65" t="str">
            <v>980626</v>
          </cell>
          <cell r="E65" t="str">
            <v>460401-1155212</v>
          </cell>
          <cell r="F65" t="str">
            <v>서울 마포 서교 366-1</v>
          </cell>
          <cell r="G65">
            <v>3323010</v>
          </cell>
          <cell r="H65">
            <v>70032450</v>
          </cell>
          <cell r="I65">
            <v>431990</v>
          </cell>
        </row>
        <row r="66">
          <cell r="I66">
            <v>67341200</v>
          </cell>
        </row>
        <row r="67">
          <cell r="C67" t="str">
            <v>이혜영</v>
          </cell>
          <cell r="D67" t="str">
            <v>951230</v>
          </cell>
          <cell r="E67" t="str">
            <v>530707-2005516</v>
          </cell>
          <cell r="F67" t="str">
            <v>서울 서초 반포 32-5 41/ 한양(아) 1-805</v>
          </cell>
          <cell r="G67">
            <v>13236000</v>
          </cell>
          <cell r="H67">
            <v>13236000</v>
          </cell>
          <cell r="I67">
            <v>2978100</v>
          </cell>
        </row>
        <row r="68">
          <cell r="I68">
            <v>2978100</v>
          </cell>
        </row>
        <row r="69">
          <cell r="C69" t="str">
            <v>김명욱</v>
          </cell>
          <cell r="D69" t="str">
            <v>970725</v>
          </cell>
          <cell r="E69" t="str">
            <v>560508-1037816</v>
          </cell>
          <cell r="F69" t="str">
            <v>경기 부천 원미 중 1102 꿈마을(아) 1206-101</v>
          </cell>
          <cell r="G69">
            <v>8805853</v>
          </cell>
          <cell r="H69">
            <v>8805853</v>
          </cell>
          <cell r="I69">
            <v>1144760</v>
          </cell>
        </row>
        <row r="70">
          <cell r="C70" t="str">
            <v>김명욱</v>
          </cell>
          <cell r="D70" t="str">
            <v>971110</v>
          </cell>
          <cell r="E70" t="str">
            <v>560508-1037816</v>
          </cell>
          <cell r="F70" t="str">
            <v>경기 부천 원미 중 1102 꿈마을(아) 1206-101</v>
          </cell>
          <cell r="G70">
            <v>91582432</v>
          </cell>
          <cell r="H70">
            <v>100388285</v>
          </cell>
          <cell r="I70">
            <v>11955510</v>
          </cell>
        </row>
        <row r="71">
          <cell r="C71" t="str">
            <v>김명욱</v>
          </cell>
          <cell r="D71" t="str">
            <v>971230</v>
          </cell>
          <cell r="E71" t="str">
            <v>560508-1037816</v>
          </cell>
          <cell r="F71" t="str">
            <v>경기 부천 원미 중 1102 꿈마을(아) 1206-101</v>
          </cell>
          <cell r="G71">
            <v>10000000</v>
          </cell>
          <cell r="H71">
            <v>110388285</v>
          </cell>
          <cell r="I71">
            <v>2418820</v>
          </cell>
        </row>
        <row r="72">
          <cell r="C72" t="str">
            <v>김명욱</v>
          </cell>
          <cell r="D72" t="str">
            <v>980319</v>
          </cell>
          <cell r="E72" t="str">
            <v>560508-1037816</v>
          </cell>
          <cell r="F72" t="str">
            <v>경기 부천 원미 중 1102 꿈마을(아) 1206-101</v>
          </cell>
          <cell r="G72">
            <v>2607138</v>
          </cell>
          <cell r="H72">
            <v>112995423</v>
          </cell>
          <cell r="I72">
            <v>631700</v>
          </cell>
        </row>
        <row r="73">
          <cell r="C73" t="str">
            <v>김명욱</v>
          </cell>
          <cell r="D73" t="str">
            <v>980428</v>
          </cell>
          <cell r="E73" t="str">
            <v>560508-1037816</v>
          </cell>
          <cell r="F73" t="str">
            <v>경기 부천 원미 중 1102 꿈마을(아) 1206-101</v>
          </cell>
          <cell r="G73">
            <v>2482032</v>
          </cell>
          <cell r="H73">
            <v>115477455</v>
          </cell>
          <cell r="I73">
            <v>602340</v>
          </cell>
        </row>
        <row r="74">
          <cell r="C74" t="str">
            <v>김명욱</v>
          </cell>
          <cell r="D74" t="str">
            <v>980515</v>
          </cell>
          <cell r="E74" t="str">
            <v>560508-1037817</v>
          </cell>
          <cell r="G74">
            <v>6750000</v>
          </cell>
          <cell r="H74">
            <v>122227455</v>
          </cell>
          <cell r="I74">
            <v>1644550</v>
          </cell>
        </row>
        <row r="75">
          <cell r="C75" t="str">
            <v>김명욱</v>
          </cell>
          <cell r="D75" t="str">
            <v>980521</v>
          </cell>
          <cell r="E75" t="str">
            <v>560508-1037816</v>
          </cell>
          <cell r="F75" t="str">
            <v>경기 부천 원미 중 1102 꿈마을(아) 1206-101</v>
          </cell>
          <cell r="G75">
            <v>12047400</v>
          </cell>
          <cell r="H75">
            <v>134274855</v>
          </cell>
          <cell r="I75">
            <v>2952880</v>
          </cell>
        </row>
        <row r="76">
          <cell r="C76" t="str">
            <v>김명욱</v>
          </cell>
          <cell r="D76" t="str">
            <v>980608</v>
          </cell>
          <cell r="E76" t="str">
            <v>560508-1037816</v>
          </cell>
          <cell r="F76" t="str">
            <v>경기 부천 원미 중 1102 꿈마을(아) 1206-101</v>
          </cell>
          <cell r="G76">
            <v>34736000</v>
          </cell>
          <cell r="H76">
            <v>169010855</v>
          </cell>
          <cell r="I76">
            <v>8620300</v>
          </cell>
        </row>
        <row r="77">
          <cell r="C77" t="str">
            <v>김명욱</v>
          </cell>
          <cell r="D77" t="str">
            <v>980613</v>
          </cell>
          <cell r="E77" t="str">
            <v>560508-1037816</v>
          </cell>
          <cell r="F77" t="str">
            <v>경기 부천 원미 중 1102 꿈마을(아) 1206-101</v>
          </cell>
          <cell r="G77">
            <v>43363100</v>
          </cell>
          <cell r="H77">
            <v>212373955</v>
          </cell>
          <cell r="I77">
            <v>10866040</v>
          </cell>
        </row>
        <row r="78">
          <cell r="C78" t="str">
            <v>김명욱</v>
          </cell>
          <cell r="D78" t="str">
            <v>980626</v>
          </cell>
          <cell r="E78" t="str">
            <v>560508-1037816</v>
          </cell>
          <cell r="F78" t="str">
            <v>경기 부천 원미 중 1102 꿈마을(아) 1206-101</v>
          </cell>
          <cell r="G78">
            <v>6327080</v>
          </cell>
          <cell r="H78">
            <v>218701035</v>
          </cell>
          <cell r="I78">
            <v>1587180</v>
          </cell>
        </row>
        <row r="79">
          <cell r="C79" t="str">
            <v>김명욱</v>
          </cell>
          <cell r="D79" t="str">
            <v>980714</v>
          </cell>
          <cell r="E79" t="str">
            <v>560508-1037816</v>
          </cell>
          <cell r="F79" t="str">
            <v>경기 부천 원미 중 1102 꿈마을(아) 1206-101</v>
          </cell>
          <cell r="G79">
            <v>28070000</v>
          </cell>
          <cell r="H79">
            <v>246771035</v>
          </cell>
          <cell r="I79">
            <v>7070700</v>
          </cell>
        </row>
        <row r="80">
          <cell r="C80" t="str">
            <v>김명욱</v>
          </cell>
          <cell r="D80" t="str">
            <v>980729</v>
          </cell>
          <cell r="E80" t="str">
            <v>560508-1037816</v>
          </cell>
          <cell r="F80" t="str">
            <v>경기 부천 원미 중 1102 꿈마을(아) 1206-101</v>
          </cell>
          <cell r="G80">
            <v>3735000</v>
          </cell>
          <cell r="H80">
            <v>250506035</v>
          </cell>
          <cell r="I80">
            <v>941280</v>
          </cell>
        </row>
        <row r="81">
          <cell r="C81" t="str">
            <v>김명욱</v>
          </cell>
          <cell r="D81" t="str">
            <v>981126</v>
          </cell>
          <cell r="E81" t="str">
            <v>560508-1037816</v>
          </cell>
          <cell r="F81" t="str">
            <v>경기 부천 원미 중 1102 꿈마을(아) 1206-101</v>
          </cell>
          <cell r="G81">
            <v>1219000</v>
          </cell>
          <cell r="H81">
            <v>251725035</v>
          </cell>
          <cell r="I81">
            <v>307250</v>
          </cell>
        </row>
        <row r="82">
          <cell r="C82" t="str">
            <v>김명욱</v>
          </cell>
          <cell r="D82" t="str">
            <v>990429</v>
          </cell>
          <cell r="E82" t="str">
            <v>560508-1037816</v>
          </cell>
          <cell r="F82" t="str">
            <v>경기 부천 원미 중 1102 꿈마을(아) 1206-101</v>
          </cell>
          <cell r="G82">
            <v>3155200</v>
          </cell>
          <cell r="H82">
            <v>254880235</v>
          </cell>
          <cell r="I82">
            <v>795590</v>
          </cell>
        </row>
        <row r="83">
          <cell r="C83" t="str">
            <v>김명욱</v>
          </cell>
          <cell r="D83" t="str">
            <v>990531</v>
          </cell>
          <cell r="E83" t="str">
            <v>560508-1037816</v>
          </cell>
          <cell r="F83" t="str">
            <v>경기 부천 원미 중 1102 꿈마을(아) 1206-101</v>
          </cell>
          <cell r="G83">
            <v>11292000</v>
          </cell>
          <cell r="H83">
            <v>266172235</v>
          </cell>
          <cell r="I83">
            <v>2851070</v>
          </cell>
        </row>
        <row r="84">
          <cell r="C84" t="str">
            <v>김명욱</v>
          </cell>
          <cell r="D84" t="str">
            <v>990617</v>
          </cell>
          <cell r="E84" t="str">
            <v>560508-1037816</v>
          </cell>
          <cell r="F84" t="str">
            <v>경기 부천 원미 중 1102 꿈마을(아) 1206-101</v>
          </cell>
          <cell r="G84">
            <v>227248000</v>
          </cell>
          <cell r="H84">
            <v>493420235</v>
          </cell>
          <cell r="I84">
            <v>58163360</v>
          </cell>
        </row>
        <row r="85">
          <cell r="I85">
            <v>112553330</v>
          </cell>
        </row>
        <row r="86">
          <cell r="C86" t="str">
            <v>김인호</v>
          </cell>
          <cell r="D86" t="str">
            <v>000424</v>
          </cell>
          <cell r="E86" t="str">
            <v>590322-1036112</v>
          </cell>
          <cell r="F86" t="str">
            <v>경기 부천 소사 소사본 403 29/4 삼성(아) 107-303</v>
          </cell>
          <cell r="G86">
            <v>95544000</v>
          </cell>
          <cell r="H86">
            <v>174044600</v>
          </cell>
          <cell r="I86">
            <v>21378580</v>
          </cell>
        </row>
        <row r="87">
          <cell r="C87" t="str">
            <v>김인호</v>
          </cell>
          <cell r="D87" t="str">
            <v>951026</v>
          </cell>
          <cell r="E87" t="str">
            <v>590322-1036112</v>
          </cell>
          <cell r="F87" t="str">
            <v>경기 부천 소사 소사본 403 29/4 삼성(아) 107-303</v>
          </cell>
          <cell r="G87">
            <v>35296000</v>
          </cell>
          <cell r="H87">
            <v>35296000</v>
          </cell>
          <cell r="I87">
            <v>10236000</v>
          </cell>
        </row>
        <row r="88">
          <cell r="C88" t="str">
            <v>김인호</v>
          </cell>
          <cell r="D88" t="str">
            <v>951130</v>
          </cell>
          <cell r="E88" t="str">
            <v>590322-1036112</v>
          </cell>
          <cell r="F88" t="str">
            <v>경기 부천 소사 소사본 403 29/4 삼성(아) 107-303</v>
          </cell>
          <cell r="G88">
            <v>2823680</v>
          </cell>
          <cell r="H88">
            <v>38119680</v>
          </cell>
          <cell r="I88">
            <v>1029250</v>
          </cell>
        </row>
        <row r="89">
          <cell r="C89" t="str">
            <v>김인호</v>
          </cell>
          <cell r="D89" t="str">
            <v>951230</v>
          </cell>
          <cell r="E89" t="str">
            <v>590322-1036112</v>
          </cell>
          <cell r="F89" t="str">
            <v>경기 부천 소사 소사본 403 29/4 삼성(아) 107-303</v>
          </cell>
          <cell r="G89">
            <v>26472000</v>
          </cell>
          <cell r="H89">
            <v>64591680</v>
          </cell>
          <cell r="I89">
            <v>9763060</v>
          </cell>
        </row>
        <row r="90">
          <cell r="C90" t="str">
            <v>김인호</v>
          </cell>
          <cell r="D90" t="str">
            <v>961230</v>
          </cell>
          <cell r="E90" t="str">
            <v>590322-1036112</v>
          </cell>
          <cell r="F90" t="str">
            <v>경기 부천 소사 소사본 403 29/4 삼성(아) 107-303</v>
          </cell>
          <cell r="G90">
            <v>10667800</v>
          </cell>
          <cell r="H90">
            <v>75259480</v>
          </cell>
          <cell r="I90">
            <v>2775090</v>
          </cell>
        </row>
        <row r="91">
          <cell r="C91" t="str">
            <v>김인호</v>
          </cell>
          <cell r="D91" t="str">
            <v>980626</v>
          </cell>
          <cell r="E91" t="str">
            <v>590322-1036112</v>
          </cell>
          <cell r="F91" t="str">
            <v>경기 부천 소사 소사본 403 29/4 삼성(아) 107-303</v>
          </cell>
          <cell r="G91">
            <v>3241120</v>
          </cell>
          <cell r="H91">
            <v>78500600</v>
          </cell>
          <cell r="I91">
            <v>421340</v>
          </cell>
        </row>
        <row r="92">
          <cell r="I92">
            <v>45603320</v>
          </cell>
        </row>
        <row r="93">
          <cell r="C93" t="str">
            <v>김재돈</v>
          </cell>
          <cell r="D93" t="str">
            <v>910901</v>
          </cell>
          <cell r="E93" t="str">
            <v>200501-1326214</v>
          </cell>
          <cell r="F93" t="str">
            <v>경기 부천 원미 원미 65-22 11/6</v>
          </cell>
          <cell r="G93">
            <v>11060406</v>
          </cell>
          <cell r="H93">
            <v>11060406</v>
          </cell>
          <cell r="I93">
            <v>2647652</v>
          </cell>
        </row>
        <row r="94">
          <cell r="C94" t="str">
            <v>김재돈</v>
          </cell>
          <cell r="D94" t="str">
            <v>930812</v>
          </cell>
          <cell r="E94" t="str">
            <v>200501-1326214</v>
          </cell>
          <cell r="F94" t="str">
            <v>경기 부천 원미 원미 65-22 11/6</v>
          </cell>
          <cell r="G94">
            <v>40135331</v>
          </cell>
          <cell r="H94">
            <v>51195737</v>
          </cell>
          <cell r="I94">
            <v>14893958</v>
          </cell>
        </row>
        <row r="95">
          <cell r="C95" t="str">
            <v>김재돈</v>
          </cell>
          <cell r="D95" t="str">
            <v>941220</v>
          </cell>
          <cell r="E95" t="str">
            <v>200501-1326214</v>
          </cell>
          <cell r="F95" t="str">
            <v>경기 부천 원미 원미 65-22 11/6</v>
          </cell>
          <cell r="G95">
            <v>33494048</v>
          </cell>
          <cell r="H95">
            <v>84689785</v>
          </cell>
          <cell r="I95">
            <v>11373795</v>
          </cell>
        </row>
        <row r="96">
          <cell r="C96" t="str">
            <v>김재돈</v>
          </cell>
          <cell r="D96" t="str">
            <v>951130</v>
          </cell>
          <cell r="E96" t="str">
            <v>200501-1326214</v>
          </cell>
          <cell r="F96" t="str">
            <v>경기 부천 원미 원미 65-22 11/6</v>
          </cell>
          <cell r="G96">
            <v>35657784</v>
          </cell>
          <cell r="H96">
            <v>120347569</v>
          </cell>
          <cell r="I96">
            <v>13253153</v>
          </cell>
        </row>
        <row r="97">
          <cell r="I97">
            <v>42168558</v>
          </cell>
        </row>
        <row r="98">
          <cell r="C98" t="str">
            <v>김철제</v>
          </cell>
          <cell r="D98" t="str">
            <v>910901</v>
          </cell>
          <cell r="E98" t="str">
            <v>350512-1267717</v>
          </cell>
          <cell r="F98" t="str">
            <v>경기 부천 원미 도당 176-1 18/1</v>
          </cell>
          <cell r="G98">
            <v>14438904</v>
          </cell>
          <cell r="H98">
            <v>14438904</v>
          </cell>
          <cell r="I98">
            <v>3914580</v>
          </cell>
        </row>
        <row r="99">
          <cell r="C99" t="str">
            <v>김철제</v>
          </cell>
          <cell r="D99" t="str">
            <v>930812</v>
          </cell>
          <cell r="E99" t="str">
            <v>350512-1267717</v>
          </cell>
          <cell r="F99" t="str">
            <v>경기 부천 원미 도당 176-1 18/1</v>
          </cell>
          <cell r="G99">
            <v>52397545</v>
          </cell>
          <cell r="H99">
            <v>66836449</v>
          </cell>
          <cell r="I99">
            <v>19492280</v>
          </cell>
        </row>
        <row r="100">
          <cell r="C100" t="str">
            <v>김철제</v>
          </cell>
          <cell r="D100" t="str">
            <v>941220</v>
          </cell>
          <cell r="E100" t="str">
            <v>350512-1267717</v>
          </cell>
          <cell r="F100" t="str">
            <v>경기 부천 원미 도당 176-1 18/1</v>
          </cell>
          <cell r="G100">
            <v>43734824</v>
          </cell>
          <cell r="H100">
            <v>110571273</v>
          </cell>
          <cell r="I100">
            <v>15213950</v>
          </cell>
        </row>
        <row r="101">
          <cell r="C101" t="str">
            <v>김철제</v>
          </cell>
          <cell r="D101" t="str">
            <v>950331</v>
          </cell>
          <cell r="E101" t="str">
            <v>350512-1267717</v>
          </cell>
          <cell r="F101" t="str">
            <v>경기 부천 원미 도당 176-1 18/1</v>
          </cell>
          <cell r="G101">
            <v>12500000</v>
          </cell>
          <cell r="H101">
            <v>123071273</v>
          </cell>
          <cell r="I101">
            <v>4646870</v>
          </cell>
        </row>
        <row r="102">
          <cell r="C102" t="str">
            <v>김철제</v>
          </cell>
          <cell r="D102" t="str">
            <v>950817</v>
          </cell>
          <cell r="E102" t="str">
            <v>350512-1267717</v>
          </cell>
          <cell r="F102" t="str">
            <v>경기 부천 원미 도당 176-1 18/1</v>
          </cell>
          <cell r="G102">
            <v>100000000</v>
          </cell>
          <cell r="H102">
            <v>223071273</v>
          </cell>
          <cell r="I102">
            <v>47475080</v>
          </cell>
        </row>
        <row r="103">
          <cell r="C103" t="str">
            <v>김철제</v>
          </cell>
          <cell r="D103" t="str">
            <v>950926</v>
          </cell>
          <cell r="E103" t="str">
            <v>350512-1267717</v>
          </cell>
          <cell r="F103" t="str">
            <v>경기 부천 원미 도당 176-1 18/1</v>
          </cell>
          <cell r="G103">
            <v>334710000</v>
          </cell>
          <cell r="H103">
            <v>557781273</v>
          </cell>
          <cell r="I103">
            <v>185634510</v>
          </cell>
        </row>
        <row r="104">
          <cell r="C104" t="str">
            <v>김철제</v>
          </cell>
          <cell r="D104" t="str">
            <v>951130</v>
          </cell>
          <cell r="E104" t="str">
            <v>350512-1267717</v>
          </cell>
          <cell r="F104" t="str">
            <v>경기 부천 원미 도당 176-1 18/1</v>
          </cell>
          <cell r="G104">
            <v>37500000</v>
          </cell>
          <cell r="H104">
            <v>641827873</v>
          </cell>
          <cell r="I104">
            <v>29804010</v>
          </cell>
        </row>
        <row r="105">
          <cell r="C105" t="str">
            <v>김철제</v>
          </cell>
          <cell r="D105" t="str">
            <v>951130</v>
          </cell>
          <cell r="E105" t="str">
            <v>350512-1267717</v>
          </cell>
          <cell r="F105" t="str">
            <v>경기 부천 원미 도당 176-1 18/1</v>
          </cell>
          <cell r="G105">
            <v>46546600</v>
          </cell>
          <cell r="H105">
            <v>604327873</v>
          </cell>
          <cell r="I105">
            <v>36906710</v>
          </cell>
        </row>
        <row r="106">
          <cell r="C106" t="str">
            <v>김철제</v>
          </cell>
          <cell r="D106" t="str">
            <v>960501</v>
          </cell>
          <cell r="E106" t="str">
            <v>350512-1267717</v>
          </cell>
          <cell r="F106" t="str">
            <v>경기 부천 원미 도당 176-1 18/1</v>
          </cell>
          <cell r="G106">
            <v>2500000</v>
          </cell>
          <cell r="H106">
            <v>644327873</v>
          </cell>
          <cell r="I106">
            <v>1226450</v>
          </cell>
        </row>
        <row r="107">
          <cell r="C107" t="str">
            <v>김철제</v>
          </cell>
          <cell r="D107" t="str">
            <v>970630</v>
          </cell>
          <cell r="E107" t="str">
            <v>350512-1267717</v>
          </cell>
          <cell r="F107" t="str">
            <v>경기 부천 원미 도당 176-1 18/1</v>
          </cell>
          <cell r="G107">
            <v>9000000</v>
          </cell>
          <cell r="H107">
            <v>638888969</v>
          </cell>
          <cell r="I107">
            <v>2411210</v>
          </cell>
        </row>
        <row r="108">
          <cell r="C108" t="str">
            <v>김철제</v>
          </cell>
          <cell r="D108" t="str">
            <v>971230</v>
          </cell>
          <cell r="E108" t="str">
            <v>350512-1267717</v>
          </cell>
          <cell r="F108" t="str">
            <v>경기 부천 원미 도당 176-1 18/1</v>
          </cell>
          <cell r="G108">
            <v>11698500</v>
          </cell>
          <cell r="H108">
            <v>650587469</v>
          </cell>
          <cell r="I108">
            <v>4346630</v>
          </cell>
        </row>
        <row r="109">
          <cell r="C109" t="str">
            <v>김철제</v>
          </cell>
          <cell r="D109" t="str">
            <v>980626</v>
          </cell>
          <cell r="E109" t="str">
            <v>350512-1267717</v>
          </cell>
          <cell r="F109" t="str">
            <v>경기 부천 원미 도당 176-1 18/1</v>
          </cell>
          <cell r="G109">
            <v>31316460</v>
          </cell>
          <cell r="H109">
            <v>681903929</v>
          </cell>
          <cell r="I109">
            <v>11662310</v>
          </cell>
        </row>
        <row r="110">
          <cell r="C110" t="str">
            <v>김철제</v>
          </cell>
          <cell r="D110" t="str">
            <v>990617</v>
          </cell>
          <cell r="E110" t="str">
            <v>350512-1267717</v>
          </cell>
          <cell r="F110" t="str">
            <v>경기 부천 원미 도당 176-1 18/1</v>
          </cell>
          <cell r="G110">
            <v>440846917</v>
          </cell>
          <cell r="H110">
            <v>1070353301</v>
          </cell>
          <cell r="I110">
            <v>175306240</v>
          </cell>
        </row>
        <row r="111">
          <cell r="I111">
            <v>538040830</v>
          </cell>
        </row>
        <row r="112">
          <cell r="C112" t="str">
            <v>백대현</v>
          </cell>
          <cell r="D112" t="str">
            <v>961230</v>
          </cell>
          <cell r="E112" t="str">
            <v>610928-1390027</v>
          </cell>
          <cell r="F112" t="str">
            <v>경기 부천 소사 괴안 164-6 27/14 염광(아) 3-1112</v>
          </cell>
          <cell r="G112">
            <v>969800</v>
          </cell>
          <cell r="H112">
            <v>969800</v>
          </cell>
          <cell r="I112">
            <v>145470</v>
          </cell>
        </row>
        <row r="113">
          <cell r="C113" t="str">
            <v>백대현</v>
          </cell>
          <cell r="D113" t="str">
            <v>980626</v>
          </cell>
          <cell r="E113" t="str">
            <v>610928-1390027</v>
          </cell>
          <cell r="F113" t="str">
            <v>경기 부천 소사 괴안 164-6 27/14 염광(아) 3-1112</v>
          </cell>
          <cell r="G113">
            <v>21550</v>
          </cell>
          <cell r="H113">
            <v>991350</v>
          </cell>
          <cell r="I113">
            <v>0</v>
          </cell>
        </row>
        <row r="114">
          <cell r="C114" t="str">
            <v>백대현</v>
          </cell>
          <cell r="D114" t="str">
            <v>981223</v>
          </cell>
          <cell r="E114" t="str">
            <v>610928-1390027</v>
          </cell>
          <cell r="F114" t="str">
            <v>경기 부천 소사 괴안 164-6 27/14 염광(아) 3-1112</v>
          </cell>
          <cell r="G114">
            <v>15899000</v>
          </cell>
          <cell r="H114">
            <v>16890350</v>
          </cell>
          <cell r="I114">
            <v>2066870</v>
          </cell>
        </row>
        <row r="115">
          <cell r="I115">
            <v>2212340</v>
          </cell>
        </row>
        <row r="116">
          <cell r="C116" t="str">
            <v>백영길</v>
          </cell>
          <cell r="D116" t="str">
            <v>951026</v>
          </cell>
          <cell r="E116" t="str">
            <v>521006-1821325</v>
          </cell>
          <cell r="F116" t="str">
            <v>경기 부천 오정 여월 52-11 46/4 3 층 -303</v>
          </cell>
          <cell r="G116">
            <v>70592000</v>
          </cell>
          <cell r="H116">
            <v>70592000</v>
          </cell>
          <cell r="I116">
            <v>23472000</v>
          </cell>
        </row>
        <row r="117">
          <cell r="C117" t="str">
            <v>백영길</v>
          </cell>
          <cell r="D117" t="str">
            <v>951130</v>
          </cell>
          <cell r="E117" t="str">
            <v>521006-1821325</v>
          </cell>
          <cell r="F117" t="str">
            <v>경기 부천 오정 여월 52-11 46/4 3 층 -303</v>
          </cell>
          <cell r="G117">
            <v>5647360</v>
          </cell>
          <cell r="H117">
            <v>76239360</v>
          </cell>
          <cell r="I117">
            <v>2088130</v>
          </cell>
        </row>
        <row r="118">
          <cell r="C118" t="str">
            <v>백영길</v>
          </cell>
          <cell r="D118" t="str">
            <v>960501</v>
          </cell>
          <cell r="E118" t="str">
            <v>521006-1821325</v>
          </cell>
          <cell r="F118" t="str">
            <v>경기 부천 오정 여월 52-11 46/4 3 층 -303</v>
          </cell>
          <cell r="G118">
            <v>10000000</v>
          </cell>
          <cell r="H118">
            <v>86239360</v>
          </cell>
          <cell r="I118">
            <v>2652130</v>
          </cell>
        </row>
        <row r="119">
          <cell r="C119" t="str">
            <v>백영길</v>
          </cell>
          <cell r="D119" t="str">
            <v>961230</v>
          </cell>
          <cell r="E119" t="str">
            <v>521006-1821325</v>
          </cell>
          <cell r="F119" t="str">
            <v>경기 부천 오정 여월 52-11 46/4 3 층 -303</v>
          </cell>
          <cell r="G119">
            <v>969800</v>
          </cell>
          <cell r="H119">
            <v>87209160</v>
          </cell>
          <cell r="I119">
            <v>286490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87209160</v>
          </cell>
          <cell r="H120">
            <v>320279880</v>
          </cell>
          <cell r="I120">
            <v>28498750</v>
          </cell>
        </row>
        <row r="121">
          <cell r="C121" t="str">
            <v>오만부</v>
          </cell>
          <cell r="D121" t="str">
            <v>000424</v>
          </cell>
          <cell r="E121" t="str">
            <v>600627-1953911</v>
          </cell>
          <cell r="F121" t="str">
            <v>경기 부천 원미 중 1051 6/2 설악단지 307-606</v>
          </cell>
          <cell r="G121">
            <v>95544000</v>
          </cell>
          <cell r="H121">
            <v>182503030</v>
          </cell>
          <cell r="I121">
            <v>22359890</v>
          </cell>
        </row>
        <row r="122">
          <cell r="C122" t="str">
            <v>오만부</v>
          </cell>
          <cell r="D122" t="str">
            <v>951026</v>
          </cell>
          <cell r="E122" t="str">
            <v>600627-1953911</v>
          </cell>
          <cell r="F122" t="str">
            <v>경기 부천 원미 중 1051 6/2 설악단지 307-606</v>
          </cell>
          <cell r="G122">
            <v>35296000</v>
          </cell>
          <cell r="H122">
            <v>35296000</v>
          </cell>
          <cell r="I122">
            <v>10236000</v>
          </cell>
        </row>
        <row r="123">
          <cell r="C123" t="str">
            <v>오만부</v>
          </cell>
          <cell r="D123" t="str">
            <v>951130</v>
          </cell>
          <cell r="E123" t="str">
            <v>600627-1953911</v>
          </cell>
          <cell r="F123" t="str">
            <v>경기 부천 원미 중 1051 6/2 설악단지 307-606</v>
          </cell>
          <cell r="G123">
            <v>2823680</v>
          </cell>
          <cell r="H123">
            <v>38119680</v>
          </cell>
          <cell r="I123">
            <v>1029250</v>
          </cell>
        </row>
        <row r="124">
          <cell r="C124" t="str">
            <v>오만부</v>
          </cell>
          <cell r="D124" t="str">
            <v>951230</v>
          </cell>
          <cell r="E124" t="str">
            <v>600627-1953911</v>
          </cell>
          <cell r="F124" t="str">
            <v>경기 부천 원미 중 1051 6/2 설악단지 307-606</v>
          </cell>
          <cell r="G124">
            <v>26472000</v>
          </cell>
          <cell r="H124">
            <v>64591680</v>
          </cell>
          <cell r="I124">
            <v>9763060</v>
          </cell>
        </row>
        <row r="125">
          <cell r="C125" t="str">
            <v>오만부</v>
          </cell>
          <cell r="D125" t="str">
            <v>961230</v>
          </cell>
          <cell r="E125" t="str">
            <v>600627-1953911</v>
          </cell>
          <cell r="F125" t="str">
            <v>경기 부천 원미 중 1051 6/2 설악단지 307-606</v>
          </cell>
          <cell r="G125">
            <v>10667800</v>
          </cell>
          <cell r="H125">
            <v>75259480</v>
          </cell>
          <cell r="I125">
            <v>2775090</v>
          </cell>
        </row>
        <row r="126">
          <cell r="C126" t="str">
            <v>오만부</v>
          </cell>
          <cell r="D126" t="str">
            <v>971230</v>
          </cell>
          <cell r="E126" t="str">
            <v>600627-1953911</v>
          </cell>
          <cell r="F126" t="str">
            <v>경기 부천 원미 중 1051 6/2 설악단지 307-606</v>
          </cell>
          <cell r="G126">
            <v>7799000</v>
          </cell>
          <cell r="H126">
            <v>83058480</v>
          </cell>
          <cell r="I126">
            <v>1013870</v>
          </cell>
        </row>
        <row r="127">
          <cell r="C127" t="str">
            <v>오만부</v>
          </cell>
          <cell r="D127" t="str">
            <v>980626</v>
          </cell>
          <cell r="E127" t="str">
            <v>600627-1953911</v>
          </cell>
          <cell r="F127" t="str">
            <v>경기 부천 원미 중 1051 6/2 설악단지 307-606</v>
          </cell>
          <cell r="G127">
            <v>3900550</v>
          </cell>
          <cell r="H127">
            <v>86959030</v>
          </cell>
          <cell r="I127">
            <v>507070</v>
          </cell>
        </row>
        <row r="128">
          <cell r="I128">
            <v>47684230</v>
          </cell>
        </row>
        <row r="129">
          <cell r="C129" t="str">
            <v>이영근</v>
          </cell>
          <cell r="D129" t="str">
            <v>961230</v>
          </cell>
          <cell r="E129" t="str">
            <v>630525-1347814</v>
          </cell>
          <cell r="F129" t="str">
            <v>경기 부천 원미 중 1030 20/4 금강마을 408-816</v>
          </cell>
          <cell r="G129">
            <v>484900</v>
          </cell>
          <cell r="H129">
            <v>484900</v>
          </cell>
          <cell r="I129">
            <v>72730</v>
          </cell>
        </row>
        <row r="130">
          <cell r="C130" t="str">
            <v>이영근</v>
          </cell>
          <cell r="D130" t="str">
            <v>980626</v>
          </cell>
          <cell r="E130" t="str">
            <v>630525-1347814</v>
          </cell>
          <cell r="F130" t="str">
            <v>경기 부천 원미 중 1030 20/4 금강마을 408-816</v>
          </cell>
          <cell r="G130">
            <v>8620</v>
          </cell>
          <cell r="H130">
            <v>493520</v>
          </cell>
          <cell r="I130">
            <v>0</v>
          </cell>
        </row>
        <row r="131">
          <cell r="C131" t="str">
            <v>이영근</v>
          </cell>
          <cell r="D131" t="str">
            <v>981223</v>
          </cell>
          <cell r="E131" t="str">
            <v>630525-1347814</v>
          </cell>
          <cell r="F131" t="str">
            <v>경기 부천 원미 중 1030 20/4 금강마을 408-816</v>
          </cell>
          <cell r="G131">
            <v>17366600</v>
          </cell>
          <cell r="H131">
            <v>17860120</v>
          </cell>
          <cell r="I131">
            <v>2257650</v>
          </cell>
        </row>
        <row r="132">
          <cell r="I132">
            <v>2330380</v>
          </cell>
        </row>
        <row r="133">
          <cell r="C133" t="str">
            <v>이영환</v>
          </cell>
          <cell r="D133" t="str">
            <v>931231</v>
          </cell>
          <cell r="E133" t="str">
            <v>341107-1119816</v>
          </cell>
          <cell r="F133" t="str">
            <v>경기 부천 오정 삼정 85-9</v>
          </cell>
          <cell r="G133">
            <v>5000000</v>
          </cell>
          <cell r="H133">
            <v>5000000</v>
          </cell>
          <cell r="I133">
            <v>1125000</v>
          </cell>
        </row>
        <row r="134">
          <cell r="I134">
            <v>1125000</v>
          </cell>
        </row>
        <row r="135">
          <cell r="C135" t="str">
            <v>이정희</v>
          </cell>
          <cell r="D135" t="str">
            <v>951026</v>
          </cell>
          <cell r="E135" t="str">
            <v>570821-1267512</v>
          </cell>
          <cell r="F135" t="str">
            <v>경기 부천 원미 중 1186 3/1 복사골 1711-1302</v>
          </cell>
          <cell r="G135">
            <v>35296000</v>
          </cell>
          <cell r="H135">
            <v>35296000</v>
          </cell>
          <cell r="I135">
            <v>10236000</v>
          </cell>
        </row>
        <row r="136">
          <cell r="C136" t="str">
            <v>이정희</v>
          </cell>
          <cell r="D136" t="str">
            <v>951130</v>
          </cell>
          <cell r="E136" t="str">
            <v>570821-1267512</v>
          </cell>
          <cell r="F136" t="str">
            <v>경기 부천 원미 중 1186 3/1 복사골 1711-1302</v>
          </cell>
          <cell r="G136">
            <v>2823680</v>
          </cell>
          <cell r="H136">
            <v>38119680</v>
          </cell>
          <cell r="I136">
            <v>1029250</v>
          </cell>
        </row>
        <row r="137">
          <cell r="C137" t="str">
            <v>이정희</v>
          </cell>
          <cell r="D137" t="str">
            <v>951230</v>
          </cell>
          <cell r="E137" t="str">
            <v>570821-1267512</v>
          </cell>
          <cell r="F137" t="str">
            <v>경기 부천 원미 중 1186 3/1 복사골 1711-1302</v>
          </cell>
          <cell r="G137">
            <v>22060000</v>
          </cell>
          <cell r="H137">
            <v>60179680</v>
          </cell>
          <cell r="I137">
            <v>8125870</v>
          </cell>
        </row>
        <row r="138">
          <cell r="C138" t="str">
            <v>이정희</v>
          </cell>
          <cell r="D138" t="str">
            <v>980626</v>
          </cell>
          <cell r="E138" t="str">
            <v>570821-1267512</v>
          </cell>
          <cell r="F138" t="str">
            <v>경기 부천 원미 중 1186 3/1 복사골 1711-1302</v>
          </cell>
          <cell r="G138">
            <v>2995450</v>
          </cell>
          <cell r="H138">
            <v>63175130</v>
          </cell>
          <cell r="I138">
            <v>389400</v>
          </cell>
        </row>
        <row r="139">
          <cell r="I139">
            <v>19780520</v>
          </cell>
        </row>
        <row r="140">
          <cell r="C140" t="str">
            <v>임철호</v>
          </cell>
          <cell r="D140" t="str">
            <v>961230</v>
          </cell>
          <cell r="E140" t="str">
            <v>611215-1042119</v>
          </cell>
          <cell r="F140" t="str">
            <v>경기 부천 원미 중 1041 36/1 덕유마을 210-205</v>
          </cell>
          <cell r="G140">
            <v>387920</v>
          </cell>
          <cell r="H140">
            <v>387920</v>
          </cell>
          <cell r="I140">
            <v>58180</v>
          </cell>
        </row>
        <row r="141">
          <cell r="C141" t="str">
            <v>임철호</v>
          </cell>
          <cell r="D141" t="str">
            <v>980620</v>
          </cell>
          <cell r="E141" t="str">
            <v>611215-1042119</v>
          </cell>
          <cell r="F141" t="str">
            <v>경기 부천 원미 중 1041 36/1 덕유마을 210-205</v>
          </cell>
          <cell r="G141">
            <v>8620</v>
          </cell>
          <cell r="H141">
            <v>396540</v>
          </cell>
          <cell r="I141">
            <v>0</v>
          </cell>
        </row>
        <row r="142">
          <cell r="C142" t="str">
            <v>임철호</v>
          </cell>
          <cell r="D142" t="str">
            <v>981223</v>
          </cell>
          <cell r="E142" t="str">
            <v>611215-1042119</v>
          </cell>
          <cell r="F142" t="str">
            <v>경기 부천 원미 중 1041 36/1 덕유마을 210-205</v>
          </cell>
          <cell r="G142">
            <v>14676000</v>
          </cell>
          <cell r="H142">
            <v>15072540</v>
          </cell>
          <cell r="I142">
            <v>1907880</v>
          </cell>
        </row>
        <row r="143">
          <cell r="I143">
            <v>1966060</v>
          </cell>
        </row>
        <row r="144">
          <cell r="C144" t="str">
            <v>한일수</v>
          </cell>
          <cell r="D144" t="str">
            <v>000426</v>
          </cell>
          <cell r="E144" t="str">
            <v>620208-1093317</v>
          </cell>
          <cell r="F144" t="str">
            <v>경기 부천 오정 삼정 213 10/3</v>
          </cell>
          <cell r="G144">
            <v>484900</v>
          </cell>
          <cell r="H144">
            <v>1237695</v>
          </cell>
          <cell r="I144">
            <v>72730</v>
          </cell>
        </row>
        <row r="145">
          <cell r="C145" t="str">
            <v>한일수</v>
          </cell>
          <cell r="D145" t="str">
            <v>000426</v>
          </cell>
          <cell r="E145" t="str">
            <v>620208-1093317</v>
          </cell>
          <cell r="F145" t="str">
            <v>경기 부천 오정 삼정 213 10/3</v>
          </cell>
          <cell r="G145">
            <v>8620</v>
          </cell>
          <cell r="H145">
            <v>20756830</v>
          </cell>
          <cell r="I145">
            <v>0</v>
          </cell>
        </row>
        <row r="146">
          <cell r="C146" t="str">
            <v>한일수</v>
          </cell>
          <cell r="D146" t="str">
            <v>981223</v>
          </cell>
          <cell r="E146" t="str">
            <v>620208-1093317</v>
          </cell>
          <cell r="F146" t="str">
            <v>경기 부천 오정 삼정 213 10/3</v>
          </cell>
          <cell r="G146">
            <v>18834200</v>
          </cell>
          <cell r="H146">
            <v>19327720</v>
          </cell>
          <cell r="I146">
            <v>2448440</v>
          </cell>
        </row>
        <row r="147">
          <cell r="I147">
            <v>2521170</v>
          </cell>
        </row>
        <row r="148">
          <cell r="C148" t="str">
            <v>심평연</v>
          </cell>
          <cell r="D148" t="str">
            <v>951026</v>
          </cell>
          <cell r="E148" t="str">
            <v>540812-1664312</v>
          </cell>
          <cell r="F148" t="str">
            <v>인천 계양 효성 248-1 22/1 롯데효성(아) 1-403</v>
          </cell>
          <cell r="G148">
            <v>44120000</v>
          </cell>
          <cell r="H148">
            <v>44120000</v>
          </cell>
          <cell r="I148">
            <v>13545000</v>
          </cell>
        </row>
        <row r="149">
          <cell r="C149" t="str">
            <v>심평연</v>
          </cell>
          <cell r="D149" t="str">
            <v>951130</v>
          </cell>
          <cell r="E149" t="str">
            <v>540812-1664312</v>
          </cell>
          <cell r="F149" t="str">
            <v>인천 계양 효성 248-1 22/1 롯데효성(아) 1-403</v>
          </cell>
          <cell r="G149">
            <v>3529600</v>
          </cell>
          <cell r="H149">
            <v>47649600</v>
          </cell>
          <cell r="I149">
            <v>1293970</v>
          </cell>
        </row>
        <row r="150">
          <cell r="C150" t="str">
            <v>심평연</v>
          </cell>
          <cell r="D150" t="str">
            <v>961230</v>
          </cell>
          <cell r="E150" t="str">
            <v>540812-1664312</v>
          </cell>
          <cell r="F150" t="str">
            <v>인천 계양 효성 248-1 22/1 롯데효성(아) 1-403</v>
          </cell>
          <cell r="G150">
            <v>969800</v>
          </cell>
          <cell r="H150">
            <v>48619400</v>
          </cell>
          <cell r="I150">
            <v>231090</v>
          </cell>
        </row>
        <row r="151">
          <cell r="C151" t="str">
            <v>심평연</v>
          </cell>
          <cell r="D151" t="str">
            <v>970908</v>
          </cell>
          <cell r="E151" t="str">
            <v>540812-1664312</v>
          </cell>
          <cell r="F151" t="str">
            <v>인천 계양 효성 248-1 22/1 롯데효성(아) 1-403</v>
          </cell>
          <cell r="G151">
            <v>145308800</v>
          </cell>
          <cell r="H151">
            <v>193928200</v>
          </cell>
          <cell r="I151">
            <v>28039490</v>
          </cell>
        </row>
        <row r="152">
          <cell r="C152" t="str">
            <v>심평연</v>
          </cell>
          <cell r="D152" t="str">
            <v>971001</v>
          </cell>
          <cell r="E152" t="str">
            <v>540812-1664312</v>
          </cell>
          <cell r="F152" t="str">
            <v>인천 계양 효성 248-1 22/1 롯데효성(아) 1-403</v>
          </cell>
          <cell r="G152">
            <v>69746614</v>
          </cell>
          <cell r="H152">
            <v>263674814</v>
          </cell>
          <cell r="I152">
            <v>17605080</v>
          </cell>
        </row>
        <row r="153">
          <cell r="C153" t="str">
            <v>심평연</v>
          </cell>
          <cell r="D153" t="str">
            <v>980626</v>
          </cell>
          <cell r="E153" t="str">
            <v>540812-1664312</v>
          </cell>
          <cell r="F153" t="str">
            <v>인천 계양 효성 248-1 22/1 롯데효성(아) 1-403</v>
          </cell>
          <cell r="G153">
            <v>90087620</v>
          </cell>
          <cell r="H153">
            <v>353762434</v>
          </cell>
          <cell r="I153">
            <v>22913460</v>
          </cell>
        </row>
        <row r="154">
          <cell r="I154">
            <v>83628090</v>
          </cell>
        </row>
        <row r="155">
          <cell r="C155" t="str">
            <v>여대헌</v>
          </cell>
          <cell r="D155" t="str">
            <v>951026</v>
          </cell>
          <cell r="E155" t="str">
            <v>560517-1006410</v>
          </cell>
          <cell r="F155" t="str">
            <v>인천 계양 계산 76 16/2 영남(아) 2-216</v>
          </cell>
          <cell r="G155">
            <v>35296000</v>
          </cell>
          <cell r="H155">
            <v>35296000</v>
          </cell>
          <cell r="I155">
            <v>10236000</v>
          </cell>
        </row>
        <row r="156">
          <cell r="C156" t="str">
            <v>여대헌</v>
          </cell>
          <cell r="D156" t="str">
            <v>951130</v>
          </cell>
          <cell r="E156" t="str">
            <v>560517-1006410</v>
          </cell>
          <cell r="F156" t="str">
            <v>인천 계양 계산 76 16/2 영남(아) 2-216</v>
          </cell>
          <cell r="G156">
            <v>2803680</v>
          </cell>
          <cell r="H156">
            <v>38099680</v>
          </cell>
          <cell r="I156">
            <v>1021940</v>
          </cell>
        </row>
        <row r="157">
          <cell r="C157" t="str">
            <v>여대헌</v>
          </cell>
          <cell r="D157" t="str">
            <v>951230</v>
          </cell>
          <cell r="E157" t="str">
            <v>560517-1006410</v>
          </cell>
          <cell r="F157" t="str">
            <v>인천 계양 계산 76 16/2 영남(아) 2-216</v>
          </cell>
          <cell r="G157">
            <v>26472000</v>
          </cell>
          <cell r="H157">
            <v>64571680</v>
          </cell>
          <cell r="I157">
            <v>9763010</v>
          </cell>
        </row>
        <row r="158">
          <cell r="C158" t="str">
            <v>여대헌</v>
          </cell>
          <cell r="D158" t="str">
            <v>961230</v>
          </cell>
          <cell r="E158" t="str">
            <v>560517-1006410</v>
          </cell>
          <cell r="F158" t="str">
            <v>인천 계양 계산 76 16/2 영남(아) 2-216</v>
          </cell>
          <cell r="G158">
            <v>10667800</v>
          </cell>
          <cell r="H158">
            <v>75239480</v>
          </cell>
          <cell r="I158">
            <v>2774980</v>
          </cell>
        </row>
        <row r="159">
          <cell r="C159" t="str">
            <v>여대헌</v>
          </cell>
          <cell r="D159" t="str">
            <v>980626</v>
          </cell>
          <cell r="E159" t="str">
            <v>560517-1006410</v>
          </cell>
          <cell r="F159" t="str">
            <v>인천 계양 계산 76 16/2 영남(아) 2-216</v>
          </cell>
          <cell r="G159">
            <v>3241120</v>
          </cell>
          <cell r="H159">
            <v>78480600</v>
          </cell>
          <cell r="I159">
            <v>421340</v>
          </cell>
        </row>
        <row r="160">
          <cell r="I160">
            <v>24217270</v>
          </cell>
        </row>
        <row r="161">
          <cell r="C161" t="str">
            <v>이성욱</v>
          </cell>
          <cell r="D161" t="str">
            <v>000424</v>
          </cell>
          <cell r="E161" t="str">
            <v>611225-1030035</v>
          </cell>
          <cell r="F161" t="str">
            <v>인천 부평 산곡 311-126 22/6 현대(아) 208-305</v>
          </cell>
          <cell r="G161">
            <v>116468136</v>
          </cell>
          <cell r="H161">
            <v>163125794</v>
          </cell>
          <cell r="I161">
            <v>24962060</v>
          </cell>
        </row>
        <row r="162">
          <cell r="C162" t="str">
            <v>이성욱</v>
          </cell>
          <cell r="D162" t="str">
            <v>951026</v>
          </cell>
          <cell r="E162" t="str">
            <v>611225-1030035</v>
          </cell>
          <cell r="F162" t="str">
            <v>인천 부평 산곡 311-126 22/6 현대(아) 208-305</v>
          </cell>
          <cell r="G162">
            <v>35296000</v>
          </cell>
          <cell r="H162">
            <v>35296000</v>
          </cell>
          <cell r="I162">
            <v>10236000</v>
          </cell>
        </row>
        <row r="163">
          <cell r="C163" t="str">
            <v>이성욱</v>
          </cell>
          <cell r="D163" t="str">
            <v>951130</v>
          </cell>
          <cell r="E163" t="str">
            <v>611225-1030035</v>
          </cell>
          <cell r="F163" t="str">
            <v>인천 부평 산곡 311-126 22/6 현대(아) 208-305</v>
          </cell>
          <cell r="G163">
            <v>2823680</v>
          </cell>
          <cell r="H163">
            <v>38119680</v>
          </cell>
          <cell r="I163">
            <v>1029250</v>
          </cell>
        </row>
        <row r="164">
          <cell r="C164" t="str">
            <v>이성욱</v>
          </cell>
          <cell r="D164" t="str">
            <v>951230</v>
          </cell>
          <cell r="E164" t="str">
            <v>611225-1030035</v>
          </cell>
          <cell r="F164" t="str">
            <v>인천 부평 산곡 311-126 22/6 현대(아) 208-305</v>
          </cell>
          <cell r="G164">
            <v>3529600</v>
          </cell>
          <cell r="H164">
            <v>41649280</v>
          </cell>
          <cell r="I164">
            <v>1289700</v>
          </cell>
        </row>
        <row r="165">
          <cell r="C165" t="str">
            <v>이성욱</v>
          </cell>
          <cell r="D165" t="str">
            <v>961230</v>
          </cell>
          <cell r="E165" t="str">
            <v>611225-1030035</v>
          </cell>
          <cell r="F165" t="str">
            <v>인천 부평 산곡 311-126 22/6 현대(아) 208-305</v>
          </cell>
          <cell r="G165">
            <v>3064568</v>
          </cell>
          <cell r="H165">
            <v>44713848</v>
          </cell>
          <cell r="I165">
            <v>713750</v>
          </cell>
        </row>
        <row r="166">
          <cell r="C166" t="str">
            <v>이성욱</v>
          </cell>
          <cell r="D166" t="str">
            <v>980626</v>
          </cell>
          <cell r="E166" t="str">
            <v>611225-1030035</v>
          </cell>
          <cell r="F166" t="str">
            <v>인천 부평 산곡 311-126 22/6 현대(아) 208-305</v>
          </cell>
          <cell r="G166">
            <v>1943810</v>
          </cell>
          <cell r="H166">
            <v>46657658</v>
          </cell>
          <cell r="I166">
            <v>252690</v>
          </cell>
        </row>
        <row r="167">
          <cell r="I167">
            <v>38483450</v>
          </cell>
        </row>
        <row r="168">
          <cell r="C168" t="str">
            <v>송춘섭</v>
          </cell>
          <cell r="D168" t="str">
            <v>961230</v>
          </cell>
          <cell r="E168" t="str">
            <v>610804-1143415</v>
          </cell>
          <cell r="F168" t="str">
            <v>경기 김포 풍무 583-6 20/2 유현마을 109-1003</v>
          </cell>
          <cell r="G168">
            <v>969800</v>
          </cell>
          <cell r="H168">
            <v>969800</v>
          </cell>
          <cell r="I168">
            <v>145470</v>
          </cell>
        </row>
        <row r="169">
          <cell r="C169" t="str">
            <v>송춘섭</v>
          </cell>
          <cell r="D169" t="str">
            <v>980626</v>
          </cell>
          <cell r="E169" t="str">
            <v>610804-1143415</v>
          </cell>
          <cell r="F169" t="str">
            <v>경기 김포 풍무 583-6 20/2 유현마을 109-1003</v>
          </cell>
          <cell r="G169">
            <v>21550</v>
          </cell>
          <cell r="H169">
            <v>991350</v>
          </cell>
          <cell r="I169">
            <v>0</v>
          </cell>
        </row>
        <row r="170">
          <cell r="C170" t="str">
            <v>송춘섭</v>
          </cell>
          <cell r="D170" t="str">
            <v>981223</v>
          </cell>
          <cell r="E170" t="str">
            <v>610804-1143415</v>
          </cell>
          <cell r="F170" t="str">
            <v>경기 김포 풍무 583-6 20/2 유현마을 109-1003</v>
          </cell>
          <cell r="G170">
            <v>17122000</v>
          </cell>
          <cell r="H170">
            <v>18113350</v>
          </cell>
          <cell r="I170">
            <v>2225860</v>
          </cell>
        </row>
        <row r="171">
          <cell r="I171">
            <v>2371330</v>
          </cell>
        </row>
        <row r="172">
          <cell r="C172" t="str">
            <v>임병문</v>
          </cell>
          <cell r="D172" t="str">
            <v>961230</v>
          </cell>
          <cell r="E172" t="str">
            <v>610603-1480513</v>
          </cell>
          <cell r="F172" t="str">
            <v>인천 서 가좌 399 7/4 로얄타운 4-208</v>
          </cell>
          <cell r="G172">
            <v>484900</v>
          </cell>
          <cell r="H172">
            <v>484900</v>
          </cell>
          <cell r="I172">
            <v>72730</v>
          </cell>
        </row>
        <row r="173">
          <cell r="C173" t="str">
            <v>임병문</v>
          </cell>
          <cell r="D173" t="str">
            <v>980626</v>
          </cell>
          <cell r="E173" t="str">
            <v>610603-1480513</v>
          </cell>
          <cell r="F173" t="str">
            <v>인천 서 가좌 399 7/4 로얄타운 4-208</v>
          </cell>
          <cell r="G173">
            <v>8620</v>
          </cell>
          <cell r="H173">
            <v>493520</v>
          </cell>
          <cell r="I173">
            <v>0</v>
          </cell>
        </row>
        <row r="174">
          <cell r="C174" t="str">
            <v>임병문</v>
          </cell>
          <cell r="D174" t="str">
            <v>임병문</v>
          </cell>
          <cell r="E174" t="str">
            <v>임병문</v>
          </cell>
          <cell r="F174" t="str">
            <v>임병문</v>
          </cell>
          <cell r="G174" t="str">
            <v>임병문</v>
          </cell>
          <cell r="H174" t="str">
            <v>임병문</v>
          </cell>
          <cell r="I174">
            <v>2225860</v>
          </cell>
        </row>
        <row r="175">
          <cell r="I175">
            <v>2298590</v>
          </cell>
        </row>
        <row r="176">
          <cell r="C176" t="str">
            <v>이재희</v>
          </cell>
          <cell r="D176" t="str">
            <v>000424</v>
          </cell>
          <cell r="E176" t="str">
            <v>290808-1052414</v>
          </cell>
          <cell r="F176" t="str">
            <v>경기 성남 분당 서현 91 18/3 한양(아) 309-702</v>
          </cell>
          <cell r="G176">
            <v>455553792</v>
          </cell>
          <cell r="H176">
            <v>474154192</v>
          </cell>
          <cell r="I176">
            <v>107568480</v>
          </cell>
        </row>
        <row r="177">
          <cell r="C177" t="str">
            <v>이재희</v>
          </cell>
          <cell r="D177" t="str">
            <v>910430</v>
          </cell>
          <cell r="E177" t="str">
            <v>290808-1052414</v>
          </cell>
          <cell r="F177" t="str">
            <v>경기 성남 분당 서현 91 18/3 한양(아) 309-702</v>
          </cell>
          <cell r="G177">
            <v>83648108</v>
          </cell>
          <cell r="H177">
            <v>83648108</v>
          </cell>
          <cell r="I177">
            <v>29868040</v>
          </cell>
        </row>
        <row r="178">
          <cell r="C178" t="str">
            <v>이재희</v>
          </cell>
          <cell r="D178" t="str">
            <v>910901</v>
          </cell>
          <cell r="E178" t="str">
            <v>290808-1052414</v>
          </cell>
          <cell r="F178" t="str">
            <v>경기 성남 분당 서현 91 18/3 한양(아) 309-702</v>
          </cell>
          <cell r="G178">
            <v>3449151</v>
          </cell>
          <cell r="H178">
            <v>87097259</v>
          </cell>
          <cell r="I178">
            <v>1285510</v>
          </cell>
        </row>
        <row r="179">
          <cell r="C179" t="str">
            <v>이재희</v>
          </cell>
          <cell r="D179" t="str">
            <v>930812</v>
          </cell>
          <cell r="E179" t="str">
            <v>290808-1052414</v>
          </cell>
          <cell r="F179" t="str">
            <v>경기 성남 분당 서현 91 18/3 한양(아) 309-702</v>
          </cell>
          <cell r="G179">
            <v>12513890</v>
          </cell>
          <cell r="H179">
            <v>99611149</v>
          </cell>
          <cell r="I179">
            <v>5941140</v>
          </cell>
        </row>
        <row r="180">
          <cell r="C180" t="str">
            <v>이재희</v>
          </cell>
          <cell r="D180" t="str">
            <v>941220</v>
          </cell>
          <cell r="E180" t="str">
            <v>290808-1052414</v>
          </cell>
          <cell r="F180" t="str">
            <v>경기 성남 분당 서현 91 18/3 한양(아) 309-702</v>
          </cell>
          <cell r="G180">
            <v>10445008</v>
          </cell>
          <cell r="H180">
            <v>110056157</v>
          </cell>
          <cell r="I180">
            <v>3632160</v>
          </cell>
        </row>
        <row r="181">
          <cell r="C181" t="str">
            <v>이재희</v>
          </cell>
          <cell r="D181" t="str">
            <v>951230</v>
          </cell>
          <cell r="E181" t="str">
            <v>290808-1052414</v>
          </cell>
          <cell r="F181" t="str">
            <v>경기 성남 분당 서현 91 18/3 한양(아) 309-702</v>
          </cell>
          <cell r="G181">
            <v>11118240</v>
          </cell>
          <cell r="H181">
            <v>121174397</v>
          </cell>
          <cell r="I181">
            <v>4132630</v>
          </cell>
        </row>
        <row r="182">
          <cell r="C182" t="str">
            <v>이재희</v>
          </cell>
          <cell r="D182" t="str">
            <v>980626</v>
          </cell>
          <cell r="E182" t="str">
            <v>290808-1052414</v>
          </cell>
          <cell r="F182" t="str">
            <v>경기 성남 분당 서현 91 18/3 한양(아) 309-702</v>
          </cell>
          <cell r="G182">
            <v>7482160</v>
          </cell>
          <cell r="H182">
            <v>41559298</v>
          </cell>
          <cell r="I182">
            <v>972680</v>
          </cell>
        </row>
        <row r="183">
          <cell r="I183">
            <v>153400640</v>
          </cell>
        </row>
        <row r="184">
          <cell r="C184" t="str">
            <v>김상규</v>
          </cell>
          <cell r="D184" t="str">
            <v>910430</v>
          </cell>
          <cell r="E184" t="str">
            <v>361205-1024115</v>
          </cell>
          <cell r="F184" t="str">
            <v>서울 성북 동선3가 254-1 현대아트빌리지 B-102</v>
          </cell>
          <cell r="G184">
            <v>13946000</v>
          </cell>
          <cell r="H184">
            <v>13946000</v>
          </cell>
          <cell r="I184">
            <v>3729750</v>
          </cell>
        </row>
        <row r="185">
          <cell r="C185" t="str">
            <v>김상규</v>
          </cell>
          <cell r="D185" t="str">
            <v>910901</v>
          </cell>
          <cell r="E185" t="str">
            <v>361205-1024115</v>
          </cell>
          <cell r="F185" t="str">
            <v>서울 성북 동선3가 254-1 현대아트빌리지 B-102</v>
          </cell>
          <cell r="G185">
            <v>9891420</v>
          </cell>
          <cell r="H185">
            <v>23837420</v>
          </cell>
          <cell r="I185">
            <v>3626290</v>
          </cell>
        </row>
        <row r="186">
          <cell r="I186">
            <v>7356040</v>
          </cell>
        </row>
        <row r="187">
          <cell r="C187" t="str">
            <v>김동성</v>
          </cell>
          <cell r="D187" t="str">
            <v>910430</v>
          </cell>
          <cell r="E187" t="str">
            <v>220520-1055611</v>
          </cell>
          <cell r="F187" t="str">
            <v>서울 송파 가락 34-38</v>
          </cell>
          <cell r="G187">
            <v>139460000</v>
          </cell>
          <cell r="H187">
            <v>139460000</v>
          </cell>
          <cell r="I187">
            <v>58216500</v>
          </cell>
        </row>
        <row r="188">
          <cell r="C188" t="str">
            <v>김동성</v>
          </cell>
          <cell r="D188" t="str">
            <v>910901</v>
          </cell>
          <cell r="E188" t="str">
            <v>220520-1055611</v>
          </cell>
          <cell r="F188" t="str">
            <v>서울 송파 가락 34-38</v>
          </cell>
          <cell r="G188">
            <v>9576693</v>
          </cell>
          <cell r="H188">
            <v>149036693</v>
          </cell>
          <cell r="I188">
            <v>4899249</v>
          </cell>
        </row>
        <row r="189">
          <cell r="I189">
            <v>63115749</v>
          </cell>
        </row>
        <row r="190">
          <cell r="C190" t="str">
            <v>이명학</v>
          </cell>
          <cell r="D190" t="str">
            <v>921130</v>
          </cell>
          <cell r="E190" t="str">
            <v>551017-1090614</v>
          </cell>
          <cell r="F190" t="str">
            <v>부산 해운대 우 938 34/6 롯데(아) 2-906</v>
          </cell>
          <cell r="G190">
            <v>233914785</v>
          </cell>
          <cell r="H190">
            <v>233914785</v>
          </cell>
          <cell r="I190">
            <v>107805260</v>
          </cell>
        </row>
        <row r="191">
          <cell r="C191" t="str">
            <v>이명학</v>
          </cell>
          <cell r="D191" t="str">
            <v>930812</v>
          </cell>
          <cell r="E191" t="str">
            <v>551017-1090614</v>
          </cell>
          <cell r="F191" t="str">
            <v>부산 해운대 우 938 34/6 롯데(아) 2-906</v>
          </cell>
          <cell r="G191">
            <v>32291429</v>
          </cell>
          <cell r="H191">
            <v>266206214</v>
          </cell>
          <cell r="I191">
            <v>18856520</v>
          </cell>
        </row>
        <row r="192">
          <cell r="C192" t="str">
            <v>이명학</v>
          </cell>
          <cell r="D192" t="str">
            <v>941220</v>
          </cell>
          <cell r="E192" t="str">
            <v>551017-1090614</v>
          </cell>
          <cell r="F192" t="str">
            <v>부산 해운대 우 938 34/6 롯데(아) 2-906</v>
          </cell>
          <cell r="G192">
            <v>26951330</v>
          </cell>
          <cell r="H192">
            <v>293157544</v>
          </cell>
          <cell r="I192">
            <v>11805110</v>
          </cell>
        </row>
        <row r="193">
          <cell r="C193" t="str">
            <v>이명학</v>
          </cell>
          <cell r="D193" t="str">
            <v>951130</v>
          </cell>
          <cell r="E193" t="str">
            <v>551017-1090614</v>
          </cell>
          <cell r="F193" t="str">
            <v>부산 해운대 우 938 34/6 롯데(아) 2-906</v>
          </cell>
          <cell r="G193">
            <v>28695648</v>
          </cell>
          <cell r="H193">
            <v>321853192</v>
          </cell>
          <cell r="I193">
            <v>17641960</v>
          </cell>
        </row>
        <row r="194">
          <cell r="C194" t="str">
            <v>이명학</v>
          </cell>
          <cell r="D194" t="str">
            <v>980626</v>
          </cell>
          <cell r="E194" t="str">
            <v>551017-1090614</v>
          </cell>
          <cell r="F194" t="str">
            <v>부산 해운대 우 938 34/6 롯데(아) 2-906</v>
          </cell>
          <cell r="G194">
            <v>15300500</v>
          </cell>
          <cell r="H194">
            <v>103238907</v>
          </cell>
          <cell r="I194">
            <v>2051460</v>
          </cell>
        </row>
        <row r="195">
          <cell r="I195">
            <v>158160310</v>
          </cell>
        </row>
        <row r="196">
          <cell r="C196" t="str">
            <v>김학전</v>
          </cell>
          <cell r="D196" t="str">
            <v>961230</v>
          </cell>
          <cell r="E196" t="str">
            <v>620604-1481212</v>
          </cell>
          <cell r="F196" t="str">
            <v>경기 수원 권선 구운 462 15/4 삼환(아) 8-1308</v>
          </cell>
          <cell r="G196">
            <v>969800</v>
          </cell>
          <cell r="H196">
            <v>969800</v>
          </cell>
          <cell r="I196">
            <v>145470</v>
          </cell>
        </row>
        <row r="197">
          <cell r="C197" t="str">
            <v>김학전</v>
          </cell>
          <cell r="D197" t="str">
            <v>980626</v>
          </cell>
          <cell r="E197" t="str">
            <v>620604-1481212</v>
          </cell>
          <cell r="F197" t="str">
            <v>경기 수원 권선 구운 462 15/4 삼환(아) 8-1308</v>
          </cell>
          <cell r="G197">
            <v>8620</v>
          </cell>
          <cell r="H197">
            <v>978420</v>
          </cell>
          <cell r="I197">
            <v>0</v>
          </cell>
        </row>
        <row r="198">
          <cell r="C198" t="str">
            <v>김학전</v>
          </cell>
          <cell r="D198" t="str">
            <v>981223</v>
          </cell>
          <cell r="E198" t="str">
            <v>620604-1481212</v>
          </cell>
          <cell r="F198" t="str">
            <v>경기 수원 권선 구운 462 15/4 삼환(아) 8-1308</v>
          </cell>
          <cell r="G198">
            <v>16877400</v>
          </cell>
          <cell r="H198">
            <v>17855820</v>
          </cell>
          <cell r="I198">
            <v>2194060</v>
          </cell>
        </row>
        <row r="199">
          <cell r="I199">
            <v>2339530</v>
          </cell>
        </row>
        <row r="200">
          <cell r="C200" t="str">
            <v>김진배</v>
          </cell>
          <cell r="D200" t="str">
            <v>000131</v>
          </cell>
          <cell r="E200" t="str">
            <v>340119-1047713</v>
          </cell>
          <cell r="F200" t="str">
            <v>경기 안산 본오 879-16 신안(아) 202-1605</v>
          </cell>
          <cell r="G200">
            <v>300000000</v>
          </cell>
          <cell r="H200">
            <v>523140000</v>
          </cell>
          <cell r="I200">
            <v>73304110</v>
          </cell>
        </row>
        <row r="201">
          <cell r="C201" t="str">
            <v>김진배</v>
          </cell>
          <cell r="D201" t="str">
            <v>910430</v>
          </cell>
          <cell r="E201" t="str">
            <v>340119-1047713</v>
          </cell>
          <cell r="F201" t="str">
            <v>경기 안산 본오 879-16 신안(아) 202-1605</v>
          </cell>
          <cell r="G201">
            <v>104595000</v>
          </cell>
          <cell r="H201">
            <v>104595000</v>
          </cell>
          <cell r="I201">
            <v>39912370</v>
          </cell>
        </row>
        <row r="202">
          <cell r="C202" t="str">
            <v>김진배</v>
          </cell>
          <cell r="D202" t="str">
            <v>910901</v>
          </cell>
          <cell r="E202" t="str">
            <v>340119-1047713</v>
          </cell>
          <cell r="F202" t="str">
            <v>경기 안산 본오 879-16 신안(아) 202-1605</v>
          </cell>
          <cell r="G202">
            <v>4309833</v>
          </cell>
          <cell r="H202">
            <v>108904833</v>
          </cell>
          <cell r="I202">
            <v>2183510</v>
          </cell>
        </row>
        <row r="203">
          <cell r="C203" t="str">
            <v>김진배</v>
          </cell>
          <cell r="D203" t="str">
            <v>930812</v>
          </cell>
          <cell r="E203" t="str">
            <v>340119-1047713</v>
          </cell>
          <cell r="F203" t="str">
            <v>경기 안산 본오 879-16 신안(아) 202-1605</v>
          </cell>
          <cell r="G203">
            <v>15652849</v>
          </cell>
          <cell r="H203">
            <v>124557682</v>
          </cell>
          <cell r="I203">
            <v>7966410</v>
          </cell>
        </row>
        <row r="204">
          <cell r="C204" t="str">
            <v>김진배</v>
          </cell>
          <cell r="D204" t="str">
            <v>941220</v>
          </cell>
          <cell r="E204" t="str">
            <v>340119-1047713</v>
          </cell>
          <cell r="F204" t="str">
            <v>경기 안산 본오 879-16 신안(아) 202-1605</v>
          </cell>
          <cell r="G204">
            <v>13063554</v>
          </cell>
          <cell r="H204">
            <v>137621236</v>
          </cell>
          <cell r="I204">
            <v>4614060</v>
          </cell>
        </row>
        <row r="205">
          <cell r="C205" t="str">
            <v>김진배</v>
          </cell>
          <cell r="D205" t="str">
            <v>950926</v>
          </cell>
          <cell r="E205" t="str">
            <v>340119-1047713</v>
          </cell>
          <cell r="F205" t="str">
            <v>경기 안산 본오 879-16 신안(아) 202-1605</v>
          </cell>
          <cell r="G205">
            <v>223140000</v>
          </cell>
          <cell r="H205">
            <v>360761236</v>
          </cell>
          <cell r="I205">
            <v>91228540</v>
          </cell>
        </row>
        <row r="206">
          <cell r="I206">
            <v>219209000</v>
          </cell>
        </row>
        <row r="207">
          <cell r="C207" t="str">
            <v>김신용</v>
          </cell>
          <cell r="D207" t="str">
            <v>950113</v>
          </cell>
          <cell r="E207" t="str">
            <v>590312-1068918</v>
          </cell>
          <cell r="F207" t="str">
            <v>경기 군포 산본 1151-5 5/2 수리(아) 820-1902</v>
          </cell>
          <cell r="G207">
            <v>41424432</v>
          </cell>
          <cell r="H207">
            <v>41424432</v>
          </cell>
          <cell r="I207">
            <v>12534160</v>
          </cell>
        </row>
        <row r="208">
          <cell r="C208" t="str">
            <v>김신용</v>
          </cell>
          <cell r="D208" t="str">
            <v>950117</v>
          </cell>
          <cell r="E208" t="str">
            <v>590312-1068918</v>
          </cell>
          <cell r="F208" t="str">
            <v>경기 군포 산본 1151-5 5/2 수리(아) 820-1902</v>
          </cell>
          <cell r="G208">
            <v>414307467</v>
          </cell>
          <cell r="H208">
            <v>455731899</v>
          </cell>
          <cell r="I208">
            <v>223382310</v>
          </cell>
        </row>
        <row r="209">
          <cell r="C209" t="str">
            <v>김신용</v>
          </cell>
          <cell r="D209" t="str">
            <v>951005</v>
          </cell>
          <cell r="E209" t="str">
            <v>590312-1068918</v>
          </cell>
          <cell r="F209" t="str">
            <v>경기 군포 산본 1151-5 5/2 수리(아) 820-1902</v>
          </cell>
          <cell r="G209">
            <v>44120000</v>
          </cell>
          <cell r="H209">
            <v>499851899</v>
          </cell>
          <cell r="I209">
            <v>28951290</v>
          </cell>
        </row>
        <row r="210">
          <cell r="C210" t="str">
            <v>김신용</v>
          </cell>
          <cell r="D210" t="str">
            <v>951026</v>
          </cell>
          <cell r="E210" t="str">
            <v>590312-1068918</v>
          </cell>
          <cell r="F210" t="str">
            <v>경기 군포 산본 1151-5 5/2 수리(아) 820-1902</v>
          </cell>
          <cell r="G210">
            <v>35296000</v>
          </cell>
          <cell r="H210">
            <v>535147899</v>
          </cell>
          <cell r="I210">
            <v>27820400</v>
          </cell>
        </row>
        <row r="211">
          <cell r="C211" t="str">
            <v>김신용</v>
          </cell>
          <cell r="D211" t="str">
            <v>951130</v>
          </cell>
          <cell r="E211" t="str">
            <v>590312-1068918</v>
          </cell>
          <cell r="F211" t="str">
            <v>경기 군포 산본 1151-5 5/2 수리(아) 820-1902</v>
          </cell>
          <cell r="G211">
            <v>6353280</v>
          </cell>
          <cell r="H211">
            <v>541501179</v>
          </cell>
          <cell r="I211">
            <v>5013840</v>
          </cell>
        </row>
        <row r="212">
          <cell r="C212" t="str">
            <v>김신용</v>
          </cell>
          <cell r="D212" t="str">
            <v>960103</v>
          </cell>
          <cell r="E212" t="str">
            <v>590312-1068918</v>
          </cell>
          <cell r="F212" t="str">
            <v>경기 군포 산본 1151-5 5/2 수리(아) 820-1902</v>
          </cell>
          <cell r="G212">
            <v>45040986</v>
          </cell>
          <cell r="H212">
            <v>586542165</v>
          </cell>
          <cell r="I212">
            <v>21610840</v>
          </cell>
        </row>
        <row r="213">
          <cell r="C213" t="str">
            <v>김신용</v>
          </cell>
          <cell r="D213" t="str">
            <v>980626</v>
          </cell>
          <cell r="E213" t="str">
            <v>590312-1068918</v>
          </cell>
          <cell r="F213" t="str">
            <v>경기 군포 산본 1151-5 5/2 수리(아) 820-1902</v>
          </cell>
          <cell r="G213">
            <v>18597650</v>
          </cell>
          <cell r="H213">
            <v>605139815</v>
          </cell>
          <cell r="I213">
            <v>4855920</v>
          </cell>
        </row>
        <row r="214">
          <cell r="C214" t="str">
            <v>김신용</v>
          </cell>
          <cell r="D214" t="str">
            <v>990429</v>
          </cell>
          <cell r="E214" t="str">
            <v>590312-1068918</v>
          </cell>
          <cell r="F214" t="str">
            <v>경기 군포 산본 1151-5 5/2 수리(아) 820-1902</v>
          </cell>
          <cell r="G214">
            <v>788800</v>
          </cell>
          <cell r="H214">
            <v>605928615</v>
          </cell>
          <cell r="I214">
            <v>292010</v>
          </cell>
        </row>
        <row r="215">
          <cell r="C215" t="str">
            <v>김신용</v>
          </cell>
          <cell r="D215" t="str">
            <v>990617</v>
          </cell>
          <cell r="E215" t="str">
            <v>590312-1068918</v>
          </cell>
          <cell r="F215" t="str">
            <v>경기 군포 산본 1151-5 5/2 수리(아) 820-1902</v>
          </cell>
          <cell r="G215">
            <v>255654000</v>
          </cell>
          <cell r="H215">
            <v>861582615</v>
          </cell>
          <cell r="I215">
            <v>96144340</v>
          </cell>
        </row>
        <row r="216">
          <cell r="I216">
            <v>420605110</v>
          </cell>
        </row>
        <row r="217">
          <cell r="C217" t="str">
            <v>전원규</v>
          </cell>
          <cell r="D217" t="str">
            <v>951026</v>
          </cell>
          <cell r="E217" t="str">
            <v>550405-1177518</v>
          </cell>
          <cell r="F217" t="str">
            <v>경기 안양 만안 박달 60-18 8/2</v>
          </cell>
          <cell r="G217">
            <v>53826400</v>
          </cell>
          <cell r="H217">
            <v>53826400</v>
          </cell>
          <cell r="I217">
            <v>17184900</v>
          </cell>
        </row>
        <row r="218">
          <cell r="C218" t="str">
            <v>전원규</v>
          </cell>
          <cell r="D218" t="str">
            <v>951130</v>
          </cell>
          <cell r="E218" t="str">
            <v>550405-1177518</v>
          </cell>
          <cell r="F218" t="str">
            <v>경기 안양 만안 박달 60-18 8/2</v>
          </cell>
          <cell r="G218">
            <v>4306112</v>
          </cell>
          <cell r="H218">
            <v>58132512</v>
          </cell>
          <cell r="I218">
            <v>1585160</v>
          </cell>
        </row>
        <row r="219">
          <cell r="I219">
            <v>18770060</v>
          </cell>
        </row>
        <row r="220">
          <cell r="C220" t="str">
            <v>조동환</v>
          </cell>
          <cell r="D220" t="str">
            <v>910901</v>
          </cell>
          <cell r="E220" t="str">
            <v>220308-1051110</v>
          </cell>
          <cell r="F220" t="str">
            <v>서울 용산 후암 110-6</v>
          </cell>
          <cell r="G220">
            <v>9570270</v>
          </cell>
          <cell r="H220">
            <v>9570270</v>
          </cell>
          <cell r="I220">
            <v>2153310</v>
          </cell>
        </row>
        <row r="221">
          <cell r="C221" t="str">
            <v>조동환</v>
          </cell>
          <cell r="D221" t="str">
            <v>930812</v>
          </cell>
          <cell r="E221" t="str">
            <v>220308-1051110</v>
          </cell>
          <cell r="F221" t="str">
            <v>서울 용산 후암 110-6</v>
          </cell>
          <cell r="G221">
            <v>34724297</v>
          </cell>
          <cell r="H221">
            <v>44294567</v>
          </cell>
          <cell r="I221">
            <v>12808950</v>
          </cell>
        </row>
        <row r="222">
          <cell r="I222">
            <v>14962260</v>
          </cell>
        </row>
        <row r="223">
          <cell r="C223" t="str">
            <v>진현수</v>
          </cell>
          <cell r="D223" t="str">
            <v>911219</v>
          </cell>
          <cell r="E223" t="str">
            <v>480102-1483316</v>
          </cell>
          <cell r="F223" t="str">
            <v>전북 전주 덕진 송천 1 298-1 22/4</v>
          </cell>
          <cell r="G223">
            <v>407809110</v>
          </cell>
          <cell r="H223">
            <v>407809110</v>
          </cell>
          <cell r="I223">
            <v>222771140</v>
          </cell>
        </row>
        <row r="224">
          <cell r="C224" t="str">
            <v>진현수</v>
          </cell>
          <cell r="D224" t="str">
            <v>930812</v>
          </cell>
          <cell r="E224" t="str">
            <v>480102-1483316</v>
          </cell>
          <cell r="F224" t="str">
            <v>전북 전주 덕진 송천 1 298-1 22/4</v>
          </cell>
          <cell r="G224">
            <v>63408370</v>
          </cell>
          <cell r="H224">
            <v>471217480</v>
          </cell>
          <cell r="I224">
            <v>41858710</v>
          </cell>
        </row>
        <row r="225">
          <cell r="C225" t="str">
            <v>진현수</v>
          </cell>
          <cell r="D225" t="str">
            <v>941220</v>
          </cell>
          <cell r="E225" t="str">
            <v>480102-1483316</v>
          </cell>
          <cell r="F225" t="str">
            <v>전북 전주 덕진 송천 1 298-1 22/4</v>
          </cell>
          <cell r="G225">
            <v>52925264</v>
          </cell>
          <cell r="H225">
            <v>524142744</v>
          </cell>
          <cell r="I225">
            <v>28971490</v>
          </cell>
        </row>
        <row r="226">
          <cell r="C226" t="str">
            <v>진현수</v>
          </cell>
          <cell r="D226" t="str">
            <v>951130</v>
          </cell>
          <cell r="E226" t="str">
            <v>480102-1483316</v>
          </cell>
          <cell r="F226" t="str">
            <v>전북 전주 덕진 송천 1 298-1 22/4</v>
          </cell>
          <cell r="G226">
            <v>56341240</v>
          </cell>
          <cell r="H226">
            <v>580483984</v>
          </cell>
          <cell r="I226">
            <v>44598570</v>
          </cell>
        </row>
        <row r="227">
          <cell r="I227">
            <v>338199910</v>
          </cell>
        </row>
        <row r="228">
          <cell r="C228" t="str">
            <v>임흥식</v>
          </cell>
          <cell r="D228" t="str">
            <v>981223</v>
          </cell>
          <cell r="E228" t="str">
            <v>470620-1489717</v>
          </cell>
          <cell r="F228" t="str">
            <v>서울 종로 홍지 127-14 8/4</v>
          </cell>
          <cell r="G228">
            <v>15409800</v>
          </cell>
          <cell r="H228">
            <v>15409800</v>
          </cell>
          <cell r="I228">
            <v>2003270</v>
          </cell>
        </row>
        <row r="229">
          <cell r="I229">
            <v>2003270</v>
          </cell>
        </row>
        <row r="230">
          <cell r="C230" t="str">
            <v>정태수</v>
          </cell>
          <cell r="D230" t="str">
            <v>000424</v>
          </cell>
          <cell r="E230" t="str">
            <v>551212-1000111</v>
          </cell>
          <cell r="F230" t="str">
            <v>서울 종로 평창 505-10</v>
          </cell>
          <cell r="G230">
            <v>20819192</v>
          </cell>
          <cell r="H230">
            <v>20819192</v>
          </cell>
          <cell r="I230">
            <v>2706490</v>
          </cell>
        </row>
        <row r="231">
          <cell r="C231" t="str">
            <v>정태수</v>
          </cell>
          <cell r="D231" t="str">
            <v>000426</v>
          </cell>
          <cell r="E231" t="str">
            <v>551212-1000111</v>
          </cell>
          <cell r="F231" t="str">
            <v>서울 종로 평창 505-10</v>
          </cell>
          <cell r="G231">
            <v>18182667</v>
          </cell>
          <cell r="H231">
            <v>18182667</v>
          </cell>
          <cell r="I231">
            <v>2363740</v>
          </cell>
        </row>
        <row r="232">
          <cell r="I232">
            <v>5070230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>
        <row r="2">
          <cell r="C2" t="str">
            <v>유광암</v>
          </cell>
          <cell r="D2" t="str">
            <v>961230</v>
          </cell>
          <cell r="E2" t="str">
            <v>580905-1031231</v>
          </cell>
          <cell r="F2" t="str">
            <v>서울 강서 화곡 474-11 2/4</v>
          </cell>
          <cell r="G2">
            <v>969800</v>
          </cell>
          <cell r="H2">
            <v>969800</v>
          </cell>
          <cell r="I2">
            <v>145470</v>
          </cell>
        </row>
        <row r="3">
          <cell r="C3" t="str">
            <v>유광암</v>
          </cell>
          <cell r="D3" t="str">
            <v>980626</v>
          </cell>
          <cell r="E3" t="str">
            <v>580905-1031231</v>
          </cell>
          <cell r="F3" t="str">
            <v>서울 강서 화곡 474-11 2/4</v>
          </cell>
          <cell r="G3">
            <v>21550</v>
          </cell>
          <cell r="H3">
            <v>991350</v>
          </cell>
          <cell r="I3">
            <v>0</v>
          </cell>
        </row>
        <row r="4">
          <cell r="C4" t="str">
            <v>유광암</v>
          </cell>
          <cell r="D4" t="str">
            <v>980626</v>
          </cell>
          <cell r="E4" t="str">
            <v>580905-1031231</v>
          </cell>
          <cell r="F4" t="str">
            <v>서울 강서 화곡 474-11 2/4</v>
          </cell>
          <cell r="G4">
            <v>18345000</v>
          </cell>
          <cell r="H4">
            <v>19336350</v>
          </cell>
          <cell r="I4">
            <v>2384850</v>
          </cell>
        </row>
        <row r="5">
          <cell r="I5">
            <v>2530320</v>
          </cell>
        </row>
        <row r="6">
          <cell r="C6" t="str">
            <v>유승만</v>
          </cell>
          <cell r="D6" t="str">
            <v>930812</v>
          </cell>
          <cell r="E6" t="str">
            <v>230818-1041612</v>
          </cell>
          <cell r="F6" t="str">
            <v>경기 고양 일산 주엽 12 17/8 문촌마을 804-101</v>
          </cell>
          <cell r="G6">
            <v>49706010</v>
          </cell>
          <cell r="H6">
            <v>133145269</v>
          </cell>
          <cell r="I6">
            <v>24499041</v>
          </cell>
        </row>
        <row r="7">
          <cell r="C7" t="str">
            <v>유승만</v>
          </cell>
          <cell r="D7" t="str">
            <v>941220</v>
          </cell>
          <cell r="E7" t="str">
            <v>230818-1041612</v>
          </cell>
          <cell r="F7" t="str">
            <v>경기 고양 일산 주엽 12 17/8 문촌마을 804-101</v>
          </cell>
          <cell r="G7">
            <v>41488272</v>
          </cell>
          <cell r="H7">
            <v>174733541</v>
          </cell>
          <cell r="I7">
            <v>15726690</v>
          </cell>
        </row>
        <row r="8">
          <cell r="C8" t="str">
            <v>유승만</v>
          </cell>
          <cell r="D8" t="str">
            <v>951130</v>
          </cell>
          <cell r="E8" t="str">
            <v>230818-1041612</v>
          </cell>
          <cell r="F8" t="str">
            <v>경기 고양 일산 주엽 12 17/8 문촌마을 804-101</v>
          </cell>
          <cell r="G8">
            <v>44172944</v>
          </cell>
          <cell r="H8">
            <v>218906485</v>
          </cell>
          <cell r="I8">
            <v>22504712</v>
          </cell>
        </row>
        <row r="9">
          <cell r="C9" t="str">
            <v>유승만</v>
          </cell>
          <cell r="D9" t="str">
            <v>980626</v>
          </cell>
          <cell r="E9" t="str">
            <v>230818-1041612</v>
          </cell>
          <cell r="F9" t="str">
            <v>경기 고양 일산 주엽 12 17/8 문촌마을 804-101</v>
          </cell>
          <cell r="G9">
            <v>15895280</v>
          </cell>
          <cell r="H9">
            <v>151371506</v>
          </cell>
          <cell r="I9">
            <v>2767664</v>
          </cell>
        </row>
        <row r="10">
          <cell r="I10">
            <v>65498107</v>
          </cell>
        </row>
        <row r="11">
          <cell r="C11" t="str">
            <v>최상무</v>
          </cell>
          <cell r="D11" t="str">
            <v>930812</v>
          </cell>
          <cell r="E11" t="str">
            <v>271001-1068911</v>
          </cell>
          <cell r="F11" t="str">
            <v>경기 고양 일산 대화 2183-6 30/4</v>
          </cell>
          <cell r="G11">
            <v>34430675</v>
          </cell>
          <cell r="H11">
            <v>456351446</v>
          </cell>
          <cell r="I11">
            <v>22712570</v>
          </cell>
        </row>
        <row r="12">
          <cell r="C12" t="str">
            <v>최상무</v>
          </cell>
          <cell r="D12" t="str">
            <v>931231</v>
          </cell>
          <cell r="E12" t="str">
            <v>271001-1068911</v>
          </cell>
          <cell r="F12" t="str">
            <v>경기 고양 일산 대화 2183-6 30/4</v>
          </cell>
          <cell r="G12">
            <v>20000000</v>
          </cell>
          <cell r="H12">
            <v>476351446</v>
          </cell>
          <cell r="I12">
            <v>13206090</v>
          </cell>
        </row>
        <row r="13">
          <cell r="C13" t="str">
            <v>최상무</v>
          </cell>
          <cell r="D13" t="str">
            <v>941220</v>
          </cell>
          <cell r="E13" t="str">
            <v>271001-1068911</v>
          </cell>
          <cell r="F13" t="str">
            <v>경기 고양 일산 대화 2183-6 30/4</v>
          </cell>
          <cell r="G13">
            <v>28738360</v>
          </cell>
          <cell r="H13">
            <v>218349806</v>
          </cell>
          <cell r="I13">
            <v>11731420</v>
          </cell>
        </row>
        <row r="14">
          <cell r="C14" t="str">
            <v>최상무</v>
          </cell>
          <cell r="D14" t="str">
            <v>950817</v>
          </cell>
          <cell r="E14" t="str">
            <v>271001-1068911</v>
          </cell>
          <cell r="F14" t="str">
            <v>경기 고양 일산 대화 2183-6 30/4</v>
          </cell>
          <cell r="G14">
            <v>100000000</v>
          </cell>
          <cell r="H14">
            <v>318349806</v>
          </cell>
          <cell r="I14">
            <v>53932740</v>
          </cell>
        </row>
        <row r="15">
          <cell r="C15" t="str">
            <v>최상무</v>
          </cell>
          <cell r="D15" t="str">
            <v>951130</v>
          </cell>
          <cell r="E15" t="str">
            <v>271001-1068911</v>
          </cell>
          <cell r="F15" t="str">
            <v>경기 고양 일산 대화 2183-6 30/4</v>
          </cell>
          <cell r="G15">
            <v>30592808</v>
          </cell>
          <cell r="H15">
            <v>386442614</v>
          </cell>
          <cell r="I15">
            <v>19905990</v>
          </cell>
        </row>
        <row r="16">
          <cell r="C16" t="str">
            <v>최상무</v>
          </cell>
          <cell r="D16" t="str">
            <v>951130</v>
          </cell>
          <cell r="E16" t="str">
            <v>271001-1068911</v>
          </cell>
          <cell r="F16" t="str">
            <v>경기 고양 일산 대화 2183-6 30/4</v>
          </cell>
          <cell r="G16">
            <v>37500000</v>
          </cell>
          <cell r="H16">
            <v>355849806</v>
          </cell>
          <cell r="I16">
            <v>24321910</v>
          </cell>
        </row>
        <row r="17">
          <cell r="C17" t="str">
            <v>최상무</v>
          </cell>
          <cell r="D17" t="str">
            <v>980626</v>
          </cell>
          <cell r="E17" t="str">
            <v>271001-1068911</v>
          </cell>
          <cell r="F17" t="str">
            <v>경기 고양 일산 대화 2183-6 30/4</v>
          </cell>
          <cell r="G17">
            <v>20584560</v>
          </cell>
          <cell r="H17">
            <v>271846403</v>
          </cell>
          <cell r="I17">
            <v>4367600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271846403</v>
          </cell>
          <cell r="H18">
            <v>2483541327</v>
          </cell>
          <cell r="I18">
            <v>150178320</v>
          </cell>
        </row>
        <row r="19">
          <cell r="C19" t="str">
            <v>신언조</v>
          </cell>
          <cell r="D19" t="str">
            <v>000517</v>
          </cell>
          <cell r="E19" t="str">
            <v>531001-1067011</v>
          </cell>
          <cell r="F19" t="str">
            <v>서울 관악 신림 1694 28/2 신림현대(아) 109-503</v>
          </cell>
          <cell r="G19">
            <v>162520344</v>
          </cell>
          <cell r="H19">
            <v>433140741</v>
          </cell>
          <cell r="I19">
            <v>41504862</v>
          </cell>
        </row>
        <row r="20">
          <cell r="C20" t="str">
            <v>신언조</v>
          </cell>
          <cell r="D20" t="str">
            <v>910430</v>
          </cell>
          <cell r="E20" t="str">
            <v>531001-1067011</v>
          </cell>
          <cell r="F20" t="str">
            <v>서울 관악 신림 1694 28/2 신림현대(아) 109-503</v>
          </cell>
          <cell r="G20">
            <v>6973000</v>
          </cell>
          <cell r="H20">
            <v>6973000</v>
          </cell>
          <cell r="I20">
            <v>1568925</v>
          </cell>
        </row>
        <row r="21">
          <cell r="C21" t="str">
            <v>신언조</v>
          </cell>
          <cell r="D21" t="str">
            <v>910901</v>
          </cell>
          <cell r="E21" t="str">
            <v>531001-1067011</v>
          </cell>
          <cell r="F21" t="str">
            <v>서울 관악 신림 1694 28/2 신림현대(아) 109-503</v>
          </cell>
          <cell r="G21">
            <v>7579140</v>
          </cell>
          <cell r="H21">
            <v>14552140</v>
          </cell>
          <cell r="I21">
            <v>2344502</v>
          </cell>
        </row>
        <row r="22">
          <cell r="C22" t="str">
            <v>신언조</v>
          </cell>
          <cell r="D22" t="str">
            <v>951103</v>
          </cell>
          <cell r="E22" t="str">
            <v>531001-1067011</v>
          </cell>
          <cell r="F22" t="str">
            <v>서울 관악 신림 1694 28/2 신림현대(아) 109-503</v>
          </cell>
          <cell r="G22">
            <v>80086624</v>
          </cell>
          <cell r="H22">
            <v>94638764</v>
          </cell>
          <cell r="I22">
            <v>28393990</v>
          </cell>
        </row>
        <row r="23">
          <cell r="C23" t="str">
            <v>신언조</v>
          </cell>
          <cell r="D23" t="str">
            <v>951130</v>
          </cell>
          <cell r="E23" t="str">
            <v>531001-1067011</v>
          </cell>
          <cell r="F23" t="str">
            <v>서울 관악 신림 1694 28/2 신림현대(아) 109-503</v>
          </cell>
          <cell r="G23">
            <v>6370928</v>
          </cell>
          <cell r="H23">
            <v>101009692</v>
          </cell>
          <cell r="I23">
            <v>2363869</v>
          </cell>
        </row>
        <row r="24">
          <cell r="C24" t="str">
            <v>신언조</v>
          </cell>
          <cell r="D24" t="str">
            <v>960501</v>
          </cell>
          <cell r="E24" t="str">
            <v>531001-1067011</v>
          </cell>
          <cell r="F24" t="str">
            <v>서울 관악 신림 1694 28/2 신림현대(아) 109-503</v>
          </cell>
          <cell r="G24">
            <v>10000000</v>
          </cell>
          <cell r="H24">
            <v>104036692</v>
          </cell>
          <cell r="I24">
            <v>2711640</v>
          </cell>
        </row>
        <row r="25">
          <cell r="C25" t="str">
            <v>신언조</v>
          </cell>
          <cell r="D25" t="str">
            <v>971230</v>
          </cell>
          <cell r="E25" t="str">
            <v>531001-1067011</v>
          </cell>
          <cell r="F25" t="str">
            <v>서울 관악 신림 1694 28/2 신림현대(아) 109-503</v>
          </cell>
          <cell r="G25">
            <v>38215100</v>
          </cell>
          <cell r="H25">
            <v>134672652</v>
          </cell>
          <cell r="I25">
            <v>6247008</v>
          </cell>
        </row>
        <row r="26">
          <cell r="C26" t="str">
            <v>신언조</v>
          </cell>
          <cell r="D26" t="str">
            <v>980515</v>
          </cell>
          <cell r="E26" t="str">
            <v>531001-1067011</v>
          </cell>
          <cell r="F26" t="str">
            <v>서울 관악 신림 1694 28/2 신림현대(아) 109-503</v>
          </cell>
          <cell r="G26">
            <v>13500000</v>
          </cell>
          <cell r="H26">
            <v>148172652</v>
          </cell>
          <cell r="I26">
            <v>3327780</v>
          </cell>
        </row>
        <row r="27">
          <cell r="C27" t="str">
            <v>신언조</v>
          </cell>
          <cell r="D27" t="str">
            <v>980521</v>
          </cell>
          <cell r="E27" t="str">
            <v>531001-1067011</v>
          </cell>
          <cell r="F27" t="str">
            <v>서울 관악 신림 1694 28/2 신림현대(아) 109-503</v>
          </cell>
          <cell r="G27">
            <v>8477800</v>
          </cell>
          <cell r="H27">
            <v>156650452</v>
          </cell>
          <cell r="I27">
            <v>2095990</v>
          </cell>
        </row>
        <row r="28">
          <cell r="C28" t="str">
            <v>신언조</v>
          </cell>
          <cell r="D28" t="str">
            <v>980608</v>
          </cell>
          <cell r="E28" t="str">
            <v>531001-1067011</v>
          </cell>
          <cell r="F28" t="str">
            <v>서울 관악 신림 1694 28/2 신림현대(아) 109-503</v>
          </cell>
          <cell r="G28">
            <v>35604400</v>
          </cell>
          <cell r="H28">
            <v>192254852</v>
          </cell>
          <cell r="I28">
            <v>8886756</v>
          </cell>
        </row>
        <row r="29">
          <cell r="C29" t="str">
            <v>신언조</v>
          </cell>
          <cell r="D29" t="str">
            <v>980613</v>
          </cell>
          <cell r="E29" t="str">
            <v>531001-1067011</v>
          </cell>
          <cell r="F29" t="str">
            <v>서울 관악 신림 1694 28/2 신림현대(아) 109-503</v>
          </cell>
          <cell r="G29">
            <v>37440865</v>
          </cell>
          <cell r="H29">
            <v>229695717</v>
          </cell>
          <cell r="I29">
            <v>9408621</v>
          </cell>
        </row>
        <row r="30">
          <cell r="C30" t="str">
            <v>신언조</v>
          </cell>
          <cell r="D30" t="str">
            <v>980626</v>
          </cell>
          <cell r="E30" t="str">
            <v>531001-1067011</v>
          </cell>
          <cell r="F30" t="str">
            <v>서울 관악 신림 1694 28/2 신림현대(아) 109-503</v>
          </cell>
          <cell r="G30">
            <v>6439140</v>
          </cell>
          <cell r="H30">
            <v>236134857</v>
          </cell>
          <cell r="I30">
            <v>1619639</v>
          </cell>
        </row>
        <row r="31">
          <cell r="C31" t="str">
            <v>신언조</v>
          </cell>
          <cell r="D31" t="str">
            <v>980714</v>
          </cell>
          <cell r="E31" t="str">
            <v>531001-1067011</v>
          </cell>
          <cell r="F31" t="str">
            <v>서울 관악 신림 1694 28/2 신림현대(아) 109-503</v>
          </cell>
          <cell r="G31">
            <v>30692540</v>
          </cell>
          <cell r="H31">
            <v>266827397</v>
          </cell>
          <cell r="I31">
            <v>7750005</v>
          </cell>
        </row>
        <row r="32">
          <cell r="C32" t="str">
            <v>신언조</v>
          </cell>
          <cell r="D32" t="str">
            <v>980727</v>
          </cell>
          <cell r="E32" t="str">
            <v>531001-1067011</v>
          </cell>
          <cell r="F32" t="str">
            <v>서울 관악 신림 1694 28/2 신림현대(아) 109-503</v>
          </cell>
          <cell r="G32">
            <v>3793000</v>
          </cell>
          <cell r="H32">
            <v>270620397</v>
          </cell>
          <cell r="I32">
            <v>958148</v>
          </cell>
        </row>
        <row r="33">
          <cell r="I33">
            <v>119181735</v>
          </cell>
        </row>
        <row r="34">
          <cell r="C34" t="str">
            <v>김봉춘</v>
          </cell>
          <cell r="D34" t="str">
            <v>961230</v>
          </cell>
          <cell r="E34" t="str">
            <v>590808-1148715</v>
          </cell>
          <cell r="F34" t="str">
            <v>인천 연수 연수 582 22/2 풍림(아) 102-405</v>
          </cell>
          <cell r="G34">
            <v>969800</v>
          </cell>
          <cell r="H34">
            <v>969800</v>
          </cell>
          <cell r="I34">
            <v>145470</v>
          </cell>
        </row>
        <row r="35">
          <cell r="C35" t="str">
            <v>김봉춘</v>
          </cell>
          <cell r="D35" t="str">
            <v>980626</v>
          </cell>
          <cell r="E35" t="str">
            <v>590808-1148715</v>
          </cell>
          <cell r="F35" t="str">
            <v>인천 연수 연수 582 22/2 풍림(아) 102-405</v>
          </cell>
          <cell r="G35">
            <v>21550</v>
          </cell>
          <cell r="H35">
            <v>991350</v>
          </cell>
          <cell r="I35">
            <v>0</v>
          </cell>
        </row>
        <row r="36">
          <cell r="C36" t="str">
            <v>김봉춘</v>
          </cell>
          <cell r="D36" t="str">
            <v>981223</v>
          </cell>
          <cell r="E36" t="str">
            <v>590808-1148715</v>
          </cell>
          <cell r="F36" t="str">
            <v>인천 연수 연수 582 22/2 풍림(아) 102-405</v>
          </cell>
          <cell r="G36">
            <v>17122000</v>
          </cell>
          <cell r="H36">
            <v>18113350</v>
          </cell>
          <cell r="I36">
            <v>2225860</v>
          </cell>
        </row>
        <row r="37">
          <cell r="I37">
            <v>2371330</v>
          </cell>
        </row>
        <row r="38">
          <cell r="C38" t="str">
            <v>김현재</v>
          </cell>
          <cell r="D38" t="str">
            <v>980626</v>
          </cell>
          <cell r="E38" t="str">
            <v>580218-1140316</v>
          </cell>
          <cell r="F38" t="str">
            <v>인천 남동 만수 63-12 30/2</v>
          </cell>
          <cell r="G38">
            <v>21550</v>
          </cell>
          <cell r="H38">
            <v>991350</v>
          </cell>
          <cell r="I38">
            <v>0</v>
          </cell>
        </row>
        <row r="39">
          <cell r="C39" t="str">
            <v>김현재</v>
          </cell>
          <cell r="D39" t="str">
            <v>961230</v>
          </cell>
          <cell r="E39" t="str">
            <v>580218-1140316</v>
          </cell>
          <cell r="F39" t="str">
            <v>인천 남동 만수 63-12 30/2</v>
          </cell>
          <cell r="G39">
            <v>969800</v>
          </cell>
          <cell r="H39">
            <v>969800</v>
          </cell>
          <cell r="I39">
            <v>145470</v>
          </cell>
        </row>
        <row r="40">
          <cell r="C40" t="str">
            <v>김현재</v>
          </cell>
          <cell r="D40" t="str">
            <v>961231</v>
          </cell>
          <cell r="E40" t="str">
            <v>580218-1140317</v>
          </cell>
          <cell r="F40" t="str">
            <v>인천 남동 만수 63-12 30/3</v>
          </cell>
          <cell r="G40">
            <v>17611200</v>
          </cell>
          <cell r="H40">
            <v>18602550</v>
          </cell>
          <cell r="I40">
            <v>2289450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18602550</v>
          </cell>
          <cell r="H41">
            <v>20563700</v>
          </cell>
          <cell r="I41">
            <v>2434920</v>
          </cell>
        </row>
        <row r="42">
          <cell r="C42" t="str">
            <v>이부헌</v>
          </cell>
          <cell r="D42" t="str">
            <v>951230</v>
          </cell>
          <cell r="E42" t="str">
            <v>541010-1226835</v>
          </cell>
          <cell r="F42" t="str">
            <v>인천 연수 동춘 924 10/2 현대 2 차(아) 210-1403</v>
          </cell>
          <cell r="G42">
            <v>64062240</v>
          </cell>
          <cell r="H42">
            <v>64062240</v>
          </cell>
          <cell r="I42">
            <v>21023340</v>
          </cell>
        </row>
        <row r="43">
          <cell r="C43" t="str">
            <v>이부헌</v>
          </cell>
          <cell r="D43" t="str">
            <v>961230</v>
          </cell>
          <cell r="E43" t="str">
            <v>541010-1226835</v>
          </cell>
          <cell r="F43" t="str">
            <v>인천 연수 동춘 924 10/2 현대 2 차(아) 210-1403</v>
          </cell>
          <cell r="G43">
            <v>10667800</v>
          </cell>
          <cell r="H43">
            <v>74730040</v>
          </cell>
          <cell r="I43">
            <v>2772080</v>
          </cell>
        </row>
        <row r="44">
          <cell r="C44" t="str">
            <v>이부헌</v>
          </cell>
          <cell r="D44" t="str">
            <v>971230</v>
          </cell>
          <cell r="E44" t="str">
            <v>541010-1226835</v>
          </cell>
          <cell r="F44" t="str">
            <v>인천 연수 동춘 924 10/2 현대 2 차(아) 210-1403</v>
          </cell>
          <cell r="G44">
            <v>11698500</v>
          </cell>
          <cell r="H44">
            <v>86428540</v>
          </cell>
          <cell r="I44">
            <v>1520800</v>
          </cell>
        </row>
        <row r="45">
          <cell r="C45" t="str">
            <v>이부헌</v>
          </cell>
          <cell r="I45" t="str">
            <v>2425940</v>
          </cell>
        </row>
        <row r="46">
          <cell r="I46">
            <v>25316220</v>
          </cell>
        </row>
        <row r="47">
          <cell r="C47" t="str">
            <v>이창석</v>
          </cell>
          <cell r="D47" t="str">
            <v>961230</v>
          </cell>
          <cell r="E47" t="str">
            <v>631224-1149011</v>
          </cell>
          <cell r="F47" t="str">
            <v>인천 연수 옥련 416-1 23/1</v>
          </cell>
          <cell r="G47">
            <v>969800</v>
          </cell>
          <cell r="H47">
            <v>969800</v>
          </cell>
          <cell r="I47">
            <v>145470</v>
          </cell>
        </row>
        <row r="48">
          <cell r="C48" t="str">
            <v>이창석</v>
          </cell>
          <cell r="D48" t="str">
            <v>980626</v>
          </cell>
          <cell r="E48" t="str">
            <v>631224-1149011</v>
          </cell>
          <cell r="F48" t="str">
            <v>인천 연수 옥련 416-1 23/1</v>
          </cell>
          <cell r="G48">
            <v>21550</v>
          </cell>
          <cell r="H48">
            <v>991350</v>
          </cell>
          <cell r="I48">
            <v>0</v>
          </cell>
        </row>
        <row r="49">
          <cell r="C49" t="str">
            <v>이창석</v>
          </cell>
          <cell r="D49" t="str">
            <v>981223</v>
          </cell>
          <cell r="E49" t="str">
            <v>631224-1149011</v>
          </cell>
          <cell r="F49" t="str">
            <v>인천 연수 옥련 416-1 23/1</v>
          </cell>
          <cell r="G49">
            <v>12535750</v>
          </cell>
          <cell r="H49">
            <v>13527100</v>
          </cell>
          <cell r="I49">
            <v>1630000</v>
          </cell>
        </row>
        <row r="50">
          <cell r="I50">
            <v>1775470</v>
          </cell>
        </row>
        <row r="51">
          <cell r="C51" t="str">
            <v>김한용</v>
          </cell>
          <cell r="D51" t="str">
            <v>910430</v>
          </cell>
          <cell r="E51" t="str">
            <v>100215-1037817</v>
          </cell>
          <cell r="F51" t="str">
            <v>서울 도봉 창 805 동아그린(아) 102-310</v>
          </cell>
          <cell r="G51">
            <v>139460000</v>
          </cell>
          <cell r="H51">
            <v>139460000</v>
          </cell>
          <cell r="I51">
            <v>58216500</v>
          </cell>
        </row>
        <row r="52">
          <cell r="C52" t="str">
            <v>김한용</v>
          </cell>
          <cell r="D52" t="str">
            <v>910901</v>
          </cell>
          <cell r="E52" t="str">
            <v>100215-1037817</v>
          </cell>
          <cell r="F52" t="str">
            <v>서울 도봉 창 805 동아그린(아) 102-310</v>
          </cell>
          <cell r="G52">
            <v>9756537</v>
          </cell>
          <cell r="H52">
            <v>149216537</v>
          </cell>
          <cell r="I52">
            <v>4991410</v>
          </cell>
        </row>
        <row r="53">
          <cell r="C53" t="str">
            <v>김한용</v>
          </cell>
          <cell r="D53" t="str">
            <v>930812</v>
          </cell>
          <cell r="E53" t="str">
            <v>100215-1037817</v>
          </cell>
          <cell r="F53" t="str">
            <v>서울 도봉 창 805 동아그린(아) 102-310</v>
          </cell>
          <cell r="G53">
            <v>35406415</v>
          </cell>
          <cell r="H53">
            <v>184625952</v>
          </cell>
          <cell r="I53">
            <v>18206360</v>
          </cell>
        </row>
        <row r="54">
          <cell r="C54" t="str">
            <v>김한용</v>
          </cell>
          <cell r="D54" t="str">
            <v>941220</v>
          </cell>
          <cell r="E54" t="str">
            <v>100215-1037817</v>
          </cell>
          <cell r="F54" t="str">
            <v>서울 도봉 창 805 동아그린(아) 102-310</v>
          </cell>
          <cell r="G54">
            <v>29482348</v>
          </cell>
          <cell r="H54">
            <v>214108300</v>
          </cell>
          <cell r="I54">
            <v>11966920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214105300</v>
          </cell>
          <cell r="H55">
            <v>687410789</v>
          </cell>
          <cell r="I55">
            <v>93381190</v>
          </cell>
        </row>
        <row r="56">
          <cell r="C56" t="str">
            <v>심관섭</v>
          </cell>
          <cell r="D56" t="str">
            <v>951026</v>
          </cell>
          <cell r="E56" t="str">
            <v>470913-1017711</v>
          </cell>
          <cell r="F56" t="str">
            <v>서울 동작 상도 211-447 35/5 대광연립 나 -306</v>
          </cell>
          <cell r="G56">
            <v>79186576</v>
          </cell>
          <cell r="H56">
            <v>79186576</v>
          </cell>
          <cell r="I56">
            <v>26694960</v>
          </cell>
        </row>
        <row r="57">
          <cell r="C57" t="str">
            <v>심관섭</v>
          </cell>
          <cell r="D57" t="str">
            <v>951130</v>
          </cell>
          <cell r="E57" t="str">
            <v>470913-1017711</v>
          </cell>
          <cell r="F57" t="str">
            <v>서울 동작 상도 211-447 35/5 대광연립 나 -306</v>
          </cell>
          <cell r="G57">
            <v>6335632</v>
          </cell>
          <cell r="H57">
            <v>85522208</v>
          </cell>
          <cell r="I57">
            <v>2346220</v>
          </cell>
        </row>
        <row r="58">
          <cell r="C58" t="str">
            <v>심관섭</v>
          </cell>
          <cell r="D58" t="str">
            <v>960501</v>
          </cell>
          <cell r="E58" t="str">
            <v>470913-1017711</v>
          </cell>
          <cell r="F58" t="str">
            <v>서울 동작 상도 211-447 35/5 대광연립 나 -306</v>
          </cell>
          <cell r="G58">
            <v>10000000</v>
          </cell>
          <cell r="H58">
            <v>95522208</v>
          </cell>
          <cell r="I58">
            <v>2685930</v>
          </cell>
        </row>
        <row r="59">
          <cell r="C59" t="str">
            <v>심관섭</v>
          </cell>
          <cell r="D59" t="str">
            <v>971230</v>
          </cell>
          <cell r="E59" t="str">
            <v>470913-1017711</v>
          </cell>
          <cell r="F59" t="str">
            <v>서울 동작 상도 211-447 35/5 대광연립 나 -306</v>
          </cell>
          <cell r="G59">
            <v>569327</v>
          </cell>
          <cell r="H59">
            <v>96091635</v>
          </cell>
          <cell r="I59">
            <v>74000</v>
          </cell>
        </row>
        <row r="60">
          <cell r="C60" t="str">
            <v>심관섭</v>
          </cell>
          <cell r="D60" t="str">
            <v>980626</v>
          </cell>
          <cell r="E60" t="str">
            <v>470913-1017711</v>
          </cell>
          <cell r="F60" t="str">
            <v>서울 동작 상도 211-447 35/5 대광연립 나 -306</v>
          </cell>
          <cell r="G60">
            <v>4292760</v>
          </cell>
          <cell r="H60">
            <v>100384395</v>
          </cell>
          <cell r="I60">
            <v>600640</v>
          </cell>
        </row>
        <row r="61">
          <cell r="I61">
            <v>32401750</v>
          </cell>
        </row>
        <row r="62">
          <cell r="C62" t="str">
            <v>이천봉</v>
          </cell>
          <cell r="D62" t="str">
            <v>000424</v>
          </cell>
          <cell r="E62" t="str">
            <v>460401-1155212</v>
          </cell>
          <cell r="F62" t="str">
            <v>서울 마포 서교 366-1</v>
          </cell>
          <cell r="G62">
            <v>191088000</v>
          </cell>
          <cell r="H62">
            <v>261120245</v>
          </cell>
          <cell r="I62">
            <v>44922800</v>
          </cell>
        </row>
        <row r="63">
          <cell r="C63" t="str">
            <v>이천봉</v>
          </cell>
          <cell r="D63" t="str">
            <v>951026</v>
          </cell>
          <cell r="E63" t="str">
            <v>460401-1155212</v>
          </cell>
          <cell r="F63" t="str">
            <v>서울 마포 서교 366-1</v>
          </cell>
          <cell r="G63">
            <v>61768000</v>
          </cell>
          <cell r="H63">
            <v>61768000</v>
          </cell>
          <cell r="I63">
            <v>20163000</v>
          </cell>
        </row>
        <row r="64">
          <cell r="C64" t="str">
            <v>이천봉</v>
          </cell>
          <cell r="D64" t="str">
            <v>951130</v>
          </cell>
          <cell r="E64" t="str">
            <v>460401-1155212</v>
          </cell>
          <cell r="F64" t="str">
            <v>서울 마포 서교 366-1</v>
          </cell>
          <cell r="G64">
            <v>4941440</v>
          </cell>
          <cell r="H64">
            <v>1823410</v>
          </cell>
          <cell r="I64">
            <v>1823410</v>
          </cell>
        </row>
        <row r="65">
          <cell r="C65" t="str">
            <v>이천봉</v>
          </cell>
          <cell r="D65" t="str">
            <v>980626</v>
          </cell>
          <cell r="E65" t="str">
            <v>460401-1155212</v>
          </cell>
          <cell r="F65" t="str">
            <v>서울 마포 서교 366-1</v>
          </cell>
          <cell r="G65">
            <v>3323010</v>
          </cell>
          <cell r="H65">
            <v>70032450</v>
          </cell>
          <cell r="I65">
            <v>431990</v>
          </cell>
        </row>
        <row r="66">
          <cell r="I66">
            <v>67341200</v>
          </cell>
        </row>
        <row r="67">
          <cell r="C67" t="str">
            <v>이혜영</v>
          </cell>
          <cell r="D67" t="str">
            <v>951230</v>
          </cell>
          <cell r="E67" t="str">
            <v>530707-2005516</v>
          </cell>
          <cell r="F67" t="str">
            <v>서울 서초 반포 32-5 41/ 한양(아) 1-805</v>
          </cell>
          <cell r="G67">
            <v>13236000</v>
          </cell>
          <cell r="H67">
            <v>13236000</v>
          </cell>
          <cell r="I67">
            <v>2978100</v>
          </cell>
        </row>
        <row r="68">
          <cell r="I68">
            <v>2978100</v>
          </cell>
        </row>
        <row r="69">
          <cell r="C69" t="str">
            <v>김명욱</v>
          </cell>
          <cell r="D69" t="str">
            <v>970725</v>
          </cell>
          <cell r="E69" t="str">
            <v>560508-1037816</v>
          </cell>
          <cell r="F69" t="str">
            <v>경기 부천 원미 중 1102 꿈마을(아) 1206-101</v>
          </cell>
          <cell r="G69">
            <v>8805853</v>
          </cell>
          <cell r="H69">
            <v>8805853</v>
          </cell>
          <cell r="I69">
            <v>1144760</v>
          </cell>
        </row>
        <row r="70">
          <cell r="C70" t="str">
            <v>김명욱</v>
          </cell>
          <cell r="D70" t="str">
            <v>971110</v>
          </cell>
          <cell r="E70" t="str">
            <v>560508-1037816</v>
          </cell>
          <cell r="F70" t="str">
            <v>경기 부천 원미 중 1102 꿈마을(아) 1206-101</v>
          </cell>
          <cell r="G70">
            <v>91582432</v>
          </cell>
          <cell r="H70">
            <v>100388285</v>
          </cell>
          <cell r="I70">
            <v>11955510</v>
          </cell>
        </row>
        <row r="71">
          <cell r="C71" t="str">
            <v>김명욱</v>
          </cell>
          <cell r="D71" t="str">
            <v>971230</v>
          </cell>
          <cell r="E71" t="str">
            <v>560508-1037816</v>
          </cell>
          <cell r="F71" t="str">
            <v>경기 부천 원미 중 1102 꿈마을(아) 1206-101</v>
          </cell>
          <cell r="G71">
            <v>10000000</v>
          </cell>
          <cell r="H71">
            <v>110388285</v>
          </cell>
          <cell r="I71">
            <v>2418820</v>
          </cell>
        </row>
        <row r="72">
          <cell r="C72" t="str">
            <v>김명욱</v>
          </cell>
          <cell r="D72" t="str">
            <v>980319</v>
          </cell>
          <cell r="E72" t="str">
            <v>560508-1037816</v>
          </cell>
          <cell r="F72" t="str">
            <v>경기 부천 원미 중 1102 꿈마을(아) 1206-101</v>
          </cell>
          <cell r="G72">
            <v>2607138</v>
          </cell>
          <cell r="H72">
            <v>112995423</v>
          </cell>
          <cell r="I72">
            <v>631700</v>
          </cell>
        </row>
        <row r="73">
          <cell r="C73" t="str">
            <v>김명욱</v>
          </cell>
          <cell r="D73" t="str">
            <v>980428</v>
          </cell>
          <cell r="E73" t="str">
            <v>560508-1037816</v>
          </cell>
          <cell r="F73" t="str">
            <v>경기 부천 원미 중 1102 꿈마을(아) 1206-101</v>
          </cell>
          <cell r="G73">
            <v>2482032</v>
          </cell>
          <cell r="H73">
            <v>115477455</v>
          </cell>
          <cell r="I73">
            <v>602340</v>
          </cell>
        </row>
        <row r="74">
          <cell r="C74" t="str">
            <v>김명욱</v>
          </cell>
          <cell r="D74" t="str">
            <v>980515</v>
          </cell>
          <cell r="E74" t="str">
            <v>560508-1037817</v>
          </cell>
          <cell r="G74">
            <v>6750000</v>
          </cell>
          <cell r="H74">
            <v>122227455</v>
          </cell>
          <cell r="I74">
            <v>1644550</v>
          </cell>
        </row>
        <row r="75">
          <cell r="C75" t="str">
            <v>김명욱</v>
          </cell>
          <cell r="D75" t="str">
            <v>980521</v>
          </cell>
          <cell r="E75" t="str">
            <v>560508-1037816</v>
          </cell>
          <cell r="F75" t="str">
            <v>경기 부천 원미 중 1102 꿈마을(아) 1206-101</v>
          </cell>
          <cell r="G75">
            <v>12047400</v>
          </cell>
          <cell r="H75">
            <v>134274855</v>
          </cell>
          <cell r="I75">
            <v>2952880</v>
          </cell>
        </row>
        <row r="76">
          <cell r="C76" t="str">
            <v>김명욱</v>
          </cell>
          <cell r="D76" t="str">
            <v>980608</v>
          </cell>
          <cell r="E76" t="str">
            <v>560508-1037816</v>
          </cell>
          <cell r="F76" t="str">
            <v>경기 부천 원미 중 1102 꿈마을(아) 1206-101</v>
          </cell>
          <cell r="G76">
            <v>34736000</v>
          </cell>
          <cell r="H76">
            <v>169010855</v>
          </cell>
          <cell r="I76">
            <v>8620300</v>
          </cell>
        </row>
        <row r="77">
          <cell r="C77" t="str">
            <v>김명욱</v>
          </cell>
          <cell r="D77" t="str">
            <v>980613</v>
          </cell>
          <cell r="E77" t="str">
            <v>560508-1037816</v>
          </cell>
          <cell r="F77" t="str">
            <v>경기 부천 원미 중 1102 꿈마을(아) 1206-101</v>
          </cell>
          <cell r="G77">
            <v>43363100</v>
          </cell>
          <cell r="H77">
            <v>212373955</v>
          </cell>
          <cell r="I77">
            <v>10866040</v>
          </cell>
        </row>
        <row r="78">
          <cell r="C78" t="str">
            <v>김명욱</v>
          </cell>
          <cell r="D78" t="str">
            <v>980626</v>
          </cell>
          <cell r="E78" t="str">
            <v>560508-1037816</v>
          </cell>
          <cell r="F78" t="str">
            <v>경기 부천 원미 중 1102 꿈마을(아) 1206-101</v>
          </cell>
          <cell r="G78">
            <v>6327080</v>
          </cell>
          <cell r="H78">
            <v>218701035</v>
          </cell>
          <cell r="I78">
            <v>1587180</v>
          </cell>
        </row>
        <row r="79">
          <cell r="C79" t="str">
            <v>김명욱</v>
          </cell>
          <cell r="D79" t="str">
            <v>980714</v>
          </cell>
          <cell r="E79" t="str">
            <v>560508-1037816</v>
          </cell>
          <cell r="F79" t="str">
            <v>경기 부천 원미 중 1102 꿈마을(아) 1206-101</v>
          </cell>
          <cell r="G79">
            <v>28070000</v>
          </cell>
          <cell r="H79">
            <v>246771035</v>
          </cell>
          <cell r="I79">
            <v>7070700</v>
          </cell>
        </row>
        <row r="80">
          <cell r="C80" t="str">
            <v>김명욱</v>
          </cell>
          <cell r="D80" t="str">
            <v>980729</v>
          </cell>
          <cell r="E80" t="str">
            <v>560508-1037816</v>
          </cell>
          <cell r="F80" t="str">
            <v>경기 부천 원미 중 1102 꿈마을(아) 1206-101</v>
          </cell>
          <cell r="G80">
            <v>3735000</v>
          </cell>
          <cell r="H80">
            <v>250506035</v>
          </cell>
          <cell r="I80">
            <v>941280</v>
          </cell>
        </row>
        <row r="81">
          <cell r="C81" t="str">
            <v>김명욱</v>
          </cell>
          <cell r="D81" t="str">
            <v>981126</v>
          </cell>
          <cell r="E81" t="str">
            <v>560508-1037816</v>
          </cell>
          <cell r="F81" t="str">
            <v>경기 부천 원미 중 1102 꿈마을(아) 1206-101</v>
          </cell>
          <cell r="G81">
            <v>1219000</v>
          </cell>
          <cell r="H81">
            <v>251725035</v>
          </cell>
          <cell r="I81">
            <v>307250</v>
          </cell>
        </row>
        <row r="82">
          <cell r="C82" t="str">
            <v>김명욱</v>
          </cell>
          <cell r="D82" t="str">
            <v>990429</v>
          </cell>
          <cell r="E82" t="str">
            <v>560508-1037816</v>
          </cell>
          <cell r="F82" t="str">
            <v>경기 부천 원미 중 1102 꿈마을(아) 1206-101</v>
          </cell>
          <cell r="G82">
            <v>3155200</v>
          </cell>
          <cell r="H82">
            <v>254880235</v>
          </cell>
          <cell r="I82">
            <v>795590</v>
          </cell>
        </row>
        <row r="83">
          <cell r="C83" t="str">
            <v>김명욱</v>
          </cell>
          <cell r="D83" t="str">
            <v>990531</v>
          </cell>
          <cell r="E83" t="str">
            <v>560508-1037816</v>
          </cell>
          <cell r="F83" t="str">
            <v>경기 부천 원미 중 1102 꿈마을(아) 1206-101</v>
          </cell>
          <cell r="G83">
            <v>11292000</v>
          </cell>
          <cell r="H83">
            <v>266172235</v>
          </cell>
          <cell r="I83">
            <v>2851070</v>
          </cell>
        </row>
        <row r="84">
          <cell r="C84" t="str">
            <v>김명욱</v>
          </cell>
          <cell r="D84" t="str">
            <v>990617</v>
          </cell>
          <cell r="E84" t="str">
            <v>560508-1037816</v>
          </cell>
          <cell r="F84" t="str">
            <v>경기 부천 원미 중 1102 꿈마을(아) 1206-101</v>
          </cell>
          <cell r="G84">
            <v>227248000</v>
          </cell>
          <cell r="H84">
            <v>493420235</v>
          </cell>
          <cell r="I84">
            <v>58163360</v>
          </cell>
        </row>
        <row r="85">
          <cell r="I85">
            <v>112553330</v>
          </cell>
        </row>
        <row r="86">
          <cell r="C86" t="str">
            <v>김인호</v>
          </cell>
          <cell r="D86" t="str">
            <v>000424</v>
          </cell>
          <cell r="E86" t="str">
            <v>590322-1036112</v>
          </cell>
          <cell r="F86" t="str">
            <v>경기 부천 소사 소사본 403 29/4 삼성(아) 107-303</v>
          </cell>
          <cell r="G86">
            <v>95544000</v>
          </cell>
          <cell r="H86">
            <v>174044600</v>
          </cell>
          <cell r="I86">
            <v>21378580</v>
          </cell>
        </row>
        <row r="87">
          <cell r="C87" t="str">
            <v>김인호</v>
          </cell>
          <cell r="D87" t="str">
            <v>951026</v>
          </cell>
          <cell r="E87" t="str">
            <v>590322-1036112</v>
          </cell>
          <cell r="F87" t="str">
            <v>경기 부천 소사 소사본 403 29/4 삼성(아) 107-303</v>
          </cell>
          <cell r="G87">
            <v>35296000</v>
          </cell>
          <cell r="H87">
            <v>35296000</v>
          </cell>
          <cell r="I87">
            <v>10236000</v>
          </cell>
        </row>
        <row r="88">
          <cell r="C88" t="str">
            <v>김인호</v>
          </cell>
          <cell r="D88" t="str">
            <v>951130</v>
          </cell>
          <cell r="E88" t="str">
            <v>590322-1036112</v>
          </cell>
          <cell r="F88" t="str">
            <v>경기 부천 소사 소사본 403 29/4 삼성(아) 107-303</v>
          </cell>
          <cell r="G88">
            <v>2823680</v>
          </cell>
          <cell r="H88">
            <v>38119680</v>
          </cell>
          <cell r="I88">
            <v>1029250</v>
          </cell>
        </row>
        <row r="89">
          <cell r="C89" t="str">
            <v>김인호</v>
          </cell>
          <cell r="D89" t="str">
            <v>951230</v>
          </cell>
          <cell r="E89" t="str">
            <v>590322-1036112</v>
          </cell>
          <cell r="F89" t="str">
            <v>경기 부천 소사 소사본 403 29/4 삼성(아) 107-303</v>
          </cell>
          <cell r="G89">
            <v>26472000</v>
          </cell>
          <cell r="H89">
            <v>64591680</v>
          </cell>
          <cell r="I89">
            <v>9763060</v>
          </cell>
        </row>
        <row r="90">
          <cell r="C90" t="str">
            <v>김인호</v>
          </cell>
          <cell r="D90" t="str">
            <v>961230</v>
          </cell>
          <cell r="E90" t="str">
            <v>590322-1036112</v>
          </cell>
          <cell r="F90" t="str">
            <v>경기 부천 소사 소사본 403 29/4 삼성(아) 107-303</v>
          </cell>
          <cell r="G90">
            <v>10667800</v>
          </cell>
          <cell r="H90">
            <v>75259480</v>
          </cell>
          <cell r="I90">
            <v>2775090</v>
          </cell>
        </row>
        <row r="91">
          <cell r="C91" t="str">
            <v>김인호</v>
          </cell>
          <cell r="D91" t="str">
            <v>980626</v>
          </cell>
          <cell r="E91" t="str">
            <v>590322-1036112</v>
          </cell>
          <cell r="F91" t="str">
            <v>경기 부천 소사 소사본 403 29/4 삼성(아) 107-303</v>
          </cell>
          <cell r="G91">
            <v>3241120</v>
          </cell>
          <cell r="H91">
            <v>78500600</v>
          </cell>
          <cell r="I91">
            <v>421340</v>
          </cell>
        </row>
        <row r="92">
          <cell r="I92">
            <v>45603320</v>
          </cell>
        </row>
        <row r="93">
          <cell r="C93" t="str">
            <v>김재돈</v>
          </cell>
          <cell r="D93" t="str">
            <v>910901</v>
          </cell>
          <cell r="E93" t="str">
            <v>200501-1326214</v>
          </cell>
          <cell r="F93" t="str">
            <v>경기 부천 원미 원미 65-22 11/6</v>
          </cell>
          <cell r="G93">
            <v>11060406</v>
          </cell>
          <cell r="H93">
            <v>11060406</v>
          </cell>
          <cell r="I93">
            <v>2647652</v>
          </cell>
        </row>
        <row r="94">
          <cell r="C94" t="str">
            <v>김재돈</v>
          </cell>
          <cell r="D94" t="str">
            <v>930812</v>
          </cell>
          <cell r="E94" t="str">
            <v>200501-1326214</v>
          </cell>
          <cell r="F94" t="str">
            <v>경기 부천 원미 원미 65-22 11/6</v>
          </cell>
          <cell r="G94">
            <v>40135331</v>
          </cell>
          <cell r="H94">
            <v>51195737</v>
          </cell>
          <cell r="I94">
            <v>14893958</v>
          </cell>
        </row>
        <row r="95">
          <cell r="C95" t="str">
            <v>김재돈</v>
          </cell>
          <cell r="D95" t="str">
            <v>941220</v>
          </cell>
          <cell r="E95" t="str">
            <v>200501-1326214</v>
          </cell>
          <cell r="F95" t="str">
            <v>경기 부천 원미 원미 65-22 11/6</v>
          </cell>
          <cell r="G95">
            <v>33494048</v>
          </cell>
          <cell r="H95">
            <v>84689785</v>
          </cell>
          <cell r="I95">
            <v>11373795</v>
          </cell>
        </row>
        <row r="96">
          <cell r="C96" t="str">
            <v>김재돈</v>
          </cell>
          <cell r="D96" t="str">
            <v>951130</v>
          </cell>
          <cell r="E96" t="str">
            <v>200501-1326214</v>
          </cell>
          <cell r="F96" t="str">
            <v>경기 부천 원미 원미 65-22 11/6</v>
          </cell>
          <cell r="G96">
            <v>35657784</v>
          </cell>
          <cell r="H96">
            <v>120347569</v>
          </cell>
          <cell r="I96">
            <v>13253153</v>
          </cell>
        </row>
        <row r="97">
          <cell r="I97">
            <v>42168558</v>
          </cell>
        </row>
        <row r="98">
          <cell r="C98" t="str">
            <v>김철제</v>
          </cell>
          <cell r="D98" t="str">
            <v>910901</v>
          </cell>
          <cell r="E98" t="str">
            <v>350512-1267717</v>
          </cell>
          <cell r="F98" t="str">
            <v>경기 부천 원미 도당 176-1 18/1</v>
          </cell>
          <cell r="G98">
            <v>14438904</v>
          </cell>
          <cell r="H98">
            <v>14438904</v>
          </cell>
          <cell r="I98">
            <v>3914580</v>
          </cell>
        </row>
        <row r="99">
          <cell r="C99" t="str">
            <v>김철제</v>
          </cell>
          <cell r="D99" t="str">
            <v>930812</v>
          </cell>
          <cell r="E99" t="str">
            <v>350512-1267717</v>
          </cell>
          <cell r="F99" t="str">
            <v>경기 부천 원미 도당 176-1 18/1</v>
          </cell>
          <cell r="G99">
            <v>52397545</v>
          </cell>
          <cell r="H99">
            <v>66836449</v>
          </cell>
          <cell r="I99">
            <v>19492280</v>
          </cell>
        </row>
        <row r="100">
          <cell r="C100" t="str">
            <v>김철제</v>
          </cell>
          <cell r="D100" t="str">
            <v>941220</v>
          </cell>
          <cell r="E100" t="str">
            <v>350512-1267717</v>
          </cell>
          <cell r="F100" t="str">
            <v>경기 부천 원미 도당 176-1 18/1</v>
          </cell>
          <cell r="G100">
            <v>43734824</v>
          </cell>
          <cell r="H100">
            <v>110571273</v>
          </cell>
          <cell r="I100">
            <v>15213950</v>
          </cell>
        </row>
        <row r="101">
          <cell r="C101" t="str">
            <v>김철제</v>
          </cell>
          <cell r="D101" t="str">
            <v>950331</v>
          </cell>
          <cell r="E101" t="str">
            <v>350512-1267717</v>
          </cell>
          <cell r="F101" t="str">
            <v>경기 부천 원미 도당 176-1 18/1</v>
          </cell>
          <cell r="G101">
            <v>12500000</v>
          </cell>
          <cell r="H101">
            <v>123071273</v>
          </cell>
          <cell r="I101">
            <v>4646870</v>
          </cell>
        </row>
        <row r="102">
          <cell r="C102" t="str">
            <v>김철제</v>
          </cell>
          <cell r="D102" t="str">
            <v>950817</v>
          </cell>
          <cell r="E102" t="str">
            <v>350512-1267717</v>
          </cell>
          <cell r="F102" t="str">
            <v>경기 부천 원미 도당 176-1 18/1</v>
          </cell>
          <cell r="G102">
            <v>100000000</v>
          </cell>
          <cell r="H102">
            <v>223071273</v>
          </cell>
          <cell r="I102">
            <v>47475080</v>
          </cell>
        </row>
        <row r="103">
          <cell r="C103" t="str">
            <v>김철제</v>
          </cell>
          <cell r="D103" t="str">
            <v>950926</v>
          </cell>
          <cell r="E103" t="str">
            <v>350512-1267717</v>
          </cell>
          <cell r="F103" t="str">
            <v>경기 부천 원미 도당 176-1 18/1</v>
          </cell>
          <cell r="G103">
            <v>334710000</v>
          </cell>
          <cell r="H103">
            <v>557781273</v>
          </cell>
          <cell r="I103">
            <v>185634510</v>
          </cell>
        </row>
        <row r="104">
          <cell r="C104" t="str">
            <v>김철제</v>
          </cell>
          <cell r="D104" t="str">
            <v>951130</v>
          </cell>
          <cell r="E104" t="str">
            <v>350512-1267717</v>
          </cell>
          <cell r="F104" t="str">
            <v>경기 부천 원미 도당 176-1 18/1</v>
          </cell>
          <cell r="G104">
            <v>37500000</v>
          </cell>
          <cell r="H104">
            <v>641827873</v>
          </cell>
          <cell r="I104">
            <v>29804010</v>
          </cell>
        </row>
        <row r="105">
          <cell r="C105" t="str">
            <v>김철제</v>
          </cell>
          <cell r="D105" t="str">
            <v>951130</v>
          </cell>
          <cell r="E105" t="str">
            <v>350512-1267717</v>
          </cell>
          <cell r="F105" t="str">
            <v>경기 부천 원미 도당 176-1 18/1</v>
          </cell>
          <cell r="G105">
            <v>46546600</v>
          </cell>
          <cell r="H105">
            <v>604327873</v>
          </cell>
          <cell r="I105">
            <v>36906710</v>
          </cell>
        </row>
        <row r="106">
          <cell r="C106" t="str">
            <v>김철제</v>
          </cell>
          <cell r="D106" t="str">
            <v>960501</v>
          </cell>
          <cell r="E106" t="str">
            <v>350512-1267717</v>
          </cell>
          <cell r="F106" t="str">
            <v>경기 부천 원미 도당 176-1 18/1</v>
          </cell>
          <cell r="G106">
            <v>2500000</v>
          </cell>
          <cell r="H106">
            <v>644327873</v>
          </cell>
          <cell r="I106">
            <v>1226450</v>
          </cell>
        </row>
        <row r="107">
          <cell r="C107" t="str">
            <v>김철제</v>
          </cell>
          <cell r="D107" t="str">
            <v>970630</v>
          </cell>
          <cell r="E107" t="str">
            <v>350512-1267717</v>
          </cell>
          <cell r="F107" t="str">
            <v>경기 부천 원미 도당 176-1 18/1</v>
          </cell>
          <cell r="G107">
            <v>9000000</v>
          </cell>
          <cell r="H107">
            <v>638888969</v>
          </cell>
          <cell r="I107">
            <v>2411210</v>
          </cell>
        </row>
        <row r="108">
          <cell r="C108" t="str">
            <v>김철제</v>
          </cell>
          <cell r="D108" t="str">
            <v>971230</v>
          </cell>
          <cell r="E108" t="str">
            <v>350512-1267717</v>
          </cell>
          <cell r="F108" t="str">
            <v>경기 부천 원미 도당 176-1 18/1</v>
          </cell>
          <cell r="G108">
            <v>11698500</v>
          </cell>
          <cell r="H108">
            <v>650587469</v>
          </cell>
          <cell r="I108">
            <v>4346630</v>
          </cell>
        </row>
        <row r="109">
          <cell r="C109" t="str">
            <v>김철제</v>
          </cell>
          <cell r="D109" t="str">
            <v>980626</v>
          </cell>
          <cell r="E109" t="str">
            <v>350512-1267717</v>
          </cell>
          <cell r="F109" t="str">
            <v>경기 부천 원미 도당 176-1 18/1</v>
          </cell>
          <cell r="G109">
            <v>31316460</v>
          </cell>
          <cell r="H109">
            <v>681903929</v>
          </cell>
          <cell r="I109">
            <v>11662310</v>
          </cell>
        </row>
        <row r="110">
          <cell r="C110" t="str">
            <v>김철제</v>
          </cell>
          <cell r="D110" t="str">
            <v>990617</v>
          </cell>
          <cell r="E110" t="str">
            <v>350512-1267717</v>
          </cell>
          <cell r="F110" t="str">
            <v>경기 부천 원미 도당 176-1 18/1</v>
          </cell>
          <cell r="G110">
            <v>440846917</v>
          </cell>
          <cell r="H110">
            <v>1070353301</v>
          </cell>
          <cell r="I110">
            <v>175306240</v>
          </cell>
        </row>
        <row r="111">
          <cell r="I111">
            <v>538040830</v>
          </cell>
        </row>
        <row r="112">
          <cell r="C112" t="str">
            <v>백대현</v>
          </cell>
          <cell r="D112" t="str">
            <v>961230</v>
          </cell>
          <cell r="E112" t="str">
            <v>610928-1390027</v>
          </cell>
          <cell r="F112" t="str">
            <v>경기 부천 소사 괴안 164-6 27/14 염광(아) 3-1112</v>
          </cell>
          <cell r="G112">
            <v>969800</v>
          </cell>
          <cell r="H112">
            <v>969800</v>
          </cell>
          <cell r="I112">
            <v>145470</v>
          </cell>
        </row>
        <row r="113">
          <cell r="C113" t="str">
            <v>백대현</v>
          </cell>
          <cell r="D113" t="str">
            <v>980626</v>
          </cell>
          <cell r="E113" t="str">
            <v>610928-1390027</v>
          </cell>
          <cell r="F113" t="str">
            <v>경기 부천 소사 괴안 164-6 27/14 염광(아) 3-1112</v>
          </cell>
          <cell r="G113">
            <v>21550</v>
          </cell>
          <cell r="H113">
            <v>991350</v>
          </cell>
          <cell r="I113">
            <v>0</v>
          </cell>
        </row>
        <row r="114">
          <cell r="C114" t="str">
            <v>백대현</v>
          </cell>
          <cell r="D114" t="str">
            <v>981223</v>
          </cell>
          <cell r="E114" t="str">
            <v>610928-1390027</v>
          </cell>
          <cell r="F114" t="str">
            <v>경기 부천 소사 괴안 164-6 27/14 염광(아) 3-1112</v>
          </cell>
          <cell r="G114">
            <v>15899000</v>
          </cell>
          <cell r="H114">
            <v>16890350</v>
          </cell>
          <cell r="I114">
            <v>2066870</v>
          </cell>
        </row>
        <row r="115">
          <cell r="I115">
            <v>2212340</v>
          </cell>
        </row>
        <row r="116">
          <cell r="C116" t="str">
            <v>백영길</v>
          </cell>
          <cell r="D116" t="str">
            <v>951026</v>
          </cell>
          <cell r="E116" t="str">
            <v>521006-1821325</v>
          </cell>
          <cell r="F116" t="str">
            <v>경기 부천 오정 여월 52-11 46/4 3 층 -303</v>
          </cell>
          <cell r="G116">
            <v>70592000</v>
          </cell>
          <cell r="H116">
            <v>70592000</v>
          </cell>
          <cell r="I116">
            <v>23472000</v>
          </cell>
        </row>
        <row r="117">
          <cell r="C117" t="str">
            <v>백영길</v>
          </cell>
          <cell r="D117" t="str">
            <v>951130</v>
          </cell>
          <cell r="E117" t="str">
            <v>521006-1821325</v>
          </cell>
          <cell r="F117" t="str">
            <v>경기 부천 오정 여월 52-11 46/4 3 층 -303</v>
          </cell>
          <cell r="G117">
            <v>5647360</v>
          </cell>
          <cell r="H117">
            <v>76239360</v>
          </cell>
          <cell r="I117">
            <v>2088130</v>
          </cell>
        </row>
        <row r="118">
          <cell r="C118" t="str">
            <v>백영길</v>
          </cell>
          <cell r="D118" t="str">
            <v>960501</v>
          </cell>
          <cell r="E118" t="str">
            <v>521006-1821325</v>
          </cell>
          <cell r="F118" t="str">
            <v>경기 부천 오정 여월 52-11 46/4 3 층 -303</v>
          </cell>
          <cell r="G118">
            <v>10000000</v>
          </cell>
          <cell r="H118">
            <v>86239360</v>
          </cell>
          <cell r="I118">
            <v>2652130</v>
          </cell>
        </row>
        <row r="119">
          <cell r="C119" t="str">
            <v>백영길</v>
          </cell>
          <cell r="D119" t="str">
            <v>961230</v>
          </cell>
          <cell r="E119" t="str">
            <v>521006-1821325</v>
          </cell>
          <cell r="F119" t="str">
            <v>경기 부천 오정 여월 52-11 46/4 3 층 -303</v>
          </cell>
          <cell r="G119">
            <v>969800</v>
          </cell>
          <cell r="H119">
            <v>87209160</v>
          </cell>
          <cell r="I119">
            <v>286490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87209160</v>
          </cell>
          <cell r="H120">
            <v>320279880</v>
          </cell>
          <cell r="I120">
            <v>28498750</v>
          </cell>
        </row>
        <row r="121">
          <cell r="C121" t="str">
            <v>오만부</v>
          </cell>
          <cell r="D121" t="str">
            <v>000424</v>
          </cell>
          <cell r="E121" t="str">
            <v>600627-1953911</v>
          </cell>
          <cell r="F121" t="str">
            <v>경기 부천 원미 중 1051 6/2 설악단지 307-606</v>
          </cell>
          <cell r="G121">
            <v>95544000</v>
          </cell>
          <cell r="H121">
            <v>182503030</v>
          </cell>
          <cell r="I121">
            <v>22359890</v>
          </cell>
        </row>
        <row r="122">
          <cell r="C122" t="str">
            <v>오만부</v>
          </cell>
          <cell r="D122" t="str">
            <v>951026</v>
          </cell>
          <cell r="E122" t="str">
            <v>600627-1953911</v>
          </cell>
          <cell r="F122" t="str">
            <v>경기 부천 원미 중 1051 6/2 설악단지 307-606</v>
          </cell>
          <cell r="G122">
            <v>35296000</v>
          </cell>
          <cell r="H122">
            <v>35296000</v>
          </cell>
          <cell r="I122">
            <v>10236000</v>
          </cell>
        </row>
        <row r="123">
          <cell r="C123" t="str">
            <v>오만부</v>
          </cell>
          <cell r="D123" t="str">
            <v>951130</v>
          </cell>
          <cell r="E123" t="str">
            <v>600627-1953911</v>
          </cell>
          <cell r="F123" t="str">
            <v>경기 부천 원미 중 1051 6/2 설악단지 307-606</v>
          </cell>
          <cell r="G123">
            <v>2823680</v>
          </cell>
          <cell r="H123">
            <v>38119680</v>
          </cell>
          <cell r="I123">
            <v>1029250</v>
          </cell>
        </row>
        <row r="124">
          <cell r="C124" t="str">
            <v>오만부</v>
          </cell>
          <cell r="D124" t="str">
            <v>951230</v>
          </cell>
          <cell r="E124" t="str">
            <v>600627-1953911</v>
          </cell>
          <cell r="F124" t="str">
            <v>경기 부천 원미 중 1051 6/2 설악단지 307-606</v>
          </cell>
          <cell r="G124">
            <v>26472000</v>
          </cell>
          <cell r="H124">
            <v>64591680</v>
          </cell>
          <cell r="I124">
            <v>9763060</v>
          </cell>
        </row>
        <row r="125">
          <cell r="C125" t="str">
            <v>오만부</v>
          </cell>
          <cell r="D125" t="str">
            <v>961230</v>
          </cell>
          <cell r="E125" t="str">
            <v>600627-1953911</v>
          </cell>
          <cell r="F125" t="str">
            <v>경기 부천 원미 중 1051 6/2 설악단지 307-606</v>
          </cell>
          <cell r="G125">
            <v>10667800</v>
          </cell>
          <cell r="H125">
            <v>75259480</v>
          </cell>
          <cell r="I125">
            <v>2775090</v>
          </cell>
        </row>
        <row r="126">
          <cell r="C126" t="str">
            <v>오만부</v>
          </cell>
          <cell r="D126" t="str">
            <v>971230</v>
          </cell>
          <cell r="E126" t="str">
            <v>600627-1953911</v>
          </cell>
          <cell r="F126" t="str">
            <v>경기 부천 원미 중 1051 6/2 설악단지 307-606</v>
          </cell>
          <cell r="G126">
            <v>7799000</v>
          </cell>
          <cell r="H126">
            <v>83058480</v>
          </cell>
          <cell r="I126">
            <v>1013870</v>
          </cell>
        </row>
        <row r="127">
          <cell r="C127" t="str">
            <v>오만부</v>
          </cell>
          <cell r="D127" t="str">
            <v>980626</v>
          </cell>
          <cell r="E127" t="str">
            <v>600627-1953911</v>
          </cell>
          <cell r="F127" t="str">
            <v>경기 부천 원미 중 1051 6/2 설악단지 307-606</v>
          </cell>
          <cell r="G127">
            <v>3900550</v>
          </cell>
          <cell r="H127">
            <v>86959030</v>
          </cell>
          <cell r="I127">
            <v>507070</v>
          </cell>
        </row>
        <row r="128">
          <cell r="I128">
            <v>47684230</v>
          </cell>
        </row>
        <row r="129">
          <cell r="C129" t="str">
            <v>이영근</v>
          </cell>
          <cell r="D129" t="str">
            <v>961230</v>
          </cell>
          <cell r="E129" t="str">
            <v>630525-1347814</v>
          </cell>
          <cell r="F129" t="str">
            <v>경기 부천 원미 중 1030 20/4 금강마을 408-816</v>
          </cell>
          <cell r="G129">
            <v>484900</v>
          </cell>
          <cell r="H129">
            <v>484900</v>
          </cell>
          <cell r="I129">
            <v>72730</v>
          </cell>
        </row>
        <row r="130">
          <cell r="C130" t="str">
            <v>이영근</v>
          </cell>
          <cell r="D130" t="str">
            <v>980626</v>
          </cell>
          <cell r="E130" t="str">
            <v>630525-1347814</v>
          </cell>
          <cell r="F130" t="str">
            <v>경기 부천 원미 중 1030 20/4 금강마을 408-816</v>
          </cell>
          <cell r="G130">
            <v>8620</v>
          </cell>
          <cell r="H130">
            <v>493520</v>
          </cell>
          <cell r="I130">
            <v>0</v>
          </cell>
        </row>
        <row r="131">
          <cell r="C131" t="str">
            <v>이영근</v>
          </cell>
          <cell r="D131" t="str">
            <v>981223</v>
          </cell>
          <cell r="E131" t="str">
            <v>630525-1347814</v>
          </cell>
          <cell r="F131" t="str">
            <v>경기 부천 원미 중 1030 20/4 금강마을 408-816</v>
          </cell>
          <cell r="G131">
            <v>17366600</v>
          </cell>
          <cell r="H131">
            <v>17860120</v>
          </cell>
          <cell r="I131">
            <v>2257650</v>
          </cell>
        </row>
        <row r="132">
          <cell r="I132">
            <v>2330380</v>
          </cell>
        </row>
        <row r="133">
          <cell r="C133" t="str">
            <v>이영환</v>
          </cell>
          <cell r="D133" t="str">
            <v>931231</v>
          </cell>
          <cell r="E133" t="str">
            <v>341107-1119816</v>
          </cell>
          <cell r="F133" t="str">
            <v>경기 부천 오정 삼정 85-9</v>
          </cell>
          <cell r="G133">
            <v>5000000</v>
          </cell>
          <cell r="H133">
            <v>5000000</v>
          </cell>
          <cell r="I133">
            <v>1125000</v>
          </cell>
        </row>
        <row r="134">
          <cell r="I134">
            <v>1125000</v>
          </cell>
        </row>
        <row r="135">
          <cell r="C135" t="str">
            <v>이정희</v>
          </cell>
          <cell r="D135" t="str">
            <v>951026</v>
          </cell>
          <cell r="E135" t="str">
            <v>570821-1267512</v>
          </cell>
          <cell r="F135" t="str">
            <v>경기 부천 원미 중 1186 3/1 복사골 1711-1302</v>
          </cell>
          <cell r="G135">
            <v>35296000</v>
          </cell>
          <cell r="H135">
            <v>35296000</v>
          </cell>
          <cell r="I135">
            <v>10236000</v>
          </cell>
        </row>
        <row r="136">
          <cell r="C136" t="str">
            <v>이정희</v>
          </cell>
          <cell r="D136" t="str">
            <v>951130</v>
          </cell>
          <cell r="E136" t="str">
            <v>570821-1267512</v>
          </cell>
          <cell r="F136" t="str">
            <v>경기 부천 원미 중 1186 3/1 복사골 1711-1302</v>
          </cell>
          <cell r="G136">
            <v>2823680</v>
          </cell>
          <cell r="H136">
            <v>38119680</v>
          </cell>
          <cell r="I136">
            <v>1029250</v>
          </cell>
        </row>
        <row r="137">
          <cell r="C137" t="str">
            <v>이정희</v>
          </cell>
          <cell r="D137" t="str">
            <v>951230</v>
          </cell>
          <cell r="E137" t="str">
            <v>570821-1267512</v>
          </cell>
          <cell r="F137" t="str">
            <v>경기 부천 원미 중 1186 3/1 복사골 1711-1302</v>
          </cell>
          <cell r="G137">
            <v>22060000</v>
          </cell>
          <cell r="H137">
            <v>60179680</v>
          </cell>
          <cell r="I137">
            <v>8125870</v>
          </cell>
        </row>
        <row r="138">
          <cell r="C138" t="str">
            <v>이정희</v>
          </cell>
          <cell r="D138" t="str">
            <v>980626</v>
          </cell>
          <cell r="E138" t="str">
            <v>570821-1267512</v>
          </cell>
          <cell r="F138" t="str">
            <v>경기 부천 원미 중 1186 3/1 복사골 1711-1302</v>
          </cell>
          <cell r="G138">
            <v>2995450</v>
          </cell>
          <cell r="H138">
            <v>63175130</v>
          </cell>
          <cell r="I138">
            <v>389400</v>
          </cell>
        </row>
        <row r="139">
          <cell r="I139">
            <v>19780520</v>
          </cell>
        </row>
        <row r="140">
          <cell r="C140" t="str">
            <v>임철호</v>
          </cell>
          <cell r="D140" t="str">
            <v>961230</v>
          </cell>
          <cell r="E140" t="str">
            <v>611215-1042119</v>
          </cell>
          <cell r="F140" t="str">
            <v>경기 부천 원미 중 1041 36/1 덕유마을 210-205</v>
          </cell>
          <cell r="G140">
            <v>387920</v>
          </cell>
          <cell r="H140">
            <v>387920</v>
          </cell>
          <cell r="I140">
            <v>58180</v>
          </cell>
        </row>
        <row r="141">
          <cell r="C141" t="str">
            <v>임철호</v>
          </cell>
          <cell r="D141" t="str">
            <v>980620</v>
          </cell>
          <cell r="E141" t="str">
            <v>611215-1042119</v>
          </cell>
          <cell r="F141" t="str">
            <v>경기 부천 원미 중 1041 36/1 덕유마을 210-205</v>
          </cell>
          <cell r="G141">
            <v>8620</v>
          </cell>
          <cell r="H141">
            <v>396540</v>
          </cell>
          <cell r="I141">
            <v>0</v>
          </cell>
        </row>
        <row r="142">
          <cell r="C142" t="str">
            <v>임철호</v>
          </cell>
          <cell r="D142" t="str">
            <v>981223</v>
          </cell>
          <cell r="E142" t="str">
            <v>611215-1042119</v>
          </cell>
          <cell r="F142" t="str">
            <v>경기 부천 원미 중 1041 36/1 덕유마을 210-205</v>
          </cell>
          <cell r="G142">
            <v>14676000</v>
          </cell>
          <cell r="H142">
            <v>15072540</v>
          </cell>
          <cell r="I142">
            <v>1907880</v>
          </cell>
        </row>
        <row r="143">
          <cell r="I143">
            <v>1966060</v>
          </cell>
        </row>
        <row r="144">
          <cell r="C144" t="str">
            <v>한일수</v>
          </cell>
          <cell r="D144" t="str">
            <v>000426</v>
          </cell>
          <cell r="E144" t="str">
            <v>620208-1093317</v>
          </cell>
          <cell r="F144" t="str">
            <v>경기 부천 오정 삼정 213 10/3</v>
          </cell>
          <cell r="G144">
            <v>484900</v>
          </cell>
          <cell r="H144">
            <v>1237695</v>
          </cell>
          <cell r="I144">
            <v>72730</v>
          </cell>
        </row>
        <row r="145">
          <cell r="C145" t="str">
            <v>한일수</v>
          </cell>
          <cell r="D145" t="str">
            <v>000426</v>
          </cell>
          <cell r="E145" t="str">
            <v>620208-1093317</v>
          </cell>
          <cell r="F145" t="str">
            <v>경기 부천 오정 삼정 213 10/3</v>
          </cell>
          <cell r="G145">
            <v>8620</v>
          </cell>
          <cell r="H145">
            <v>20756830</v>
          </cell>
          <cell r="I145">
            <v>0</v>
          </cell>
        </row>
        <row r="146">
          <cell r="C146" t="str">
            <v>한일수</v>
          </cell>
          <cell r="D146" t="str">
            <v>981223</v>
          </cell>
          <cell r="E146" t="str">
            <v>620208-1093317</v>
          </cell>
          <cell r="F146" t="str">
            <v>경기 부천 오정 삼정 213 10/3</v>
          </cell>
          <cell r="G146">
            <v>18834200</v>
          </cell>
          <cell r="H146">
            <v>19327720</v>
          </cell>
          <cell r="I146">
            <v>2448440</v>
          </cell>
        </row>
        <row r="147">
          <cell r="I147">
            <v>2521170</v>
          </cell>
        </row>
        <row r="148">
          <cell r="C148" t="str">
            <v>심평연</v>
          </cell>
          <cell r="D148" t="str">
            <v>951026</v>
          </cell>
          <cell r="E148" t="str">
            <v>540812-1664312</v>
          </cell>
          <cell r="F148" t="str">
            <v>인천 계양 효성 248-1 22/1 롯데효성(아) 1-403</v>
          </cell>
          <cell r="G148">
            <v>44120000</v>
          </cell>
          <cell r="H148">
            <v>44120000</v>
          </cell>
          <cell r="I148">
            <v>13545000</v>
          </cell>
        </row>
        <row r="149">
          <cell r="C149" t="str">
            <v>심평연</v>
          </cell>
          <cell r="D149" t="str">
            <v>951130</v>
          </cell>
          <cell r="E149" t="str">
            <v>540812-1664312</v>
          </cell>
          <cell r="F149" t="str">
            <v>인천 계양 효성 248-1 22/1 롯데효성(아) 1-403</v>
          </cell>
          <cell r="G149">
            <v>3529600</v>
          </cell>
          <cell r="H149">
            <v>47649600</v>
          </cell>
          <cell r="I149">
            <v>1293970</v>
          </cell>
        </row>
        <row r="150">
          <cell r="C150" t="str">
            <v>심평연</v>
          </cell>
          <cell r="D150" t="str">
            <v>961230</v>
          </cell>
          <cell r="E150" t="str">
            <v>540812-1664312</v>
          </cell>
          <cell r="F150" t="str">
            <v>인천 계양 효성 248-1 22/1 롯데효성(아) 1-403</v>
          </cell>
          <cell r="G150">
            <v>969800</v>
          </cell>
          <cell r="H150">
            <v>48619400</v>
          </cell>
          <cell r="I150">
            <v>231090</v>
          </cell>
        </row>
        <row r="151">
          <cell r="C151" t="str">
            <v>심평연</v>
          </cell>
          <cell r="D151" t="str">
            <v>970908</v>
          </cell>
          <cell r="E151" t="str">
            <v>540812-1664312</v>
          </cell>
          <cell r="F151" t="str">
            <v>인천 계양 효성 248-1 22/1 롯데효성(아) 1-403</v>
          </cell>
          <cell r="G151">
            <v>145308800</v>
          </cell>
          <cell r="H151">
            <v>193928200</v>
          </cell>
          <cell r="I151">
            <v>28039490</v>
          </cell>
        </row>
        <row r="152">
          <cell r="C152" t="str">
            <v>심평연</v>
          </cell>
          <cell r="D152" t="str">
            <v>971001</v>
          </cell>
          <cell r="E152" t="str">
            <v>540812-1664312</v>
          </cell>
          <cell r="F152" t="str">
            <v>인천 계양 효성 248-1 22/1 롯데효성(아) 1-403</v>
          </cell>
          <cell r="G152">
            <v>69746614</v>
          </cell>
          <cell r="H152">
            <v>263674814</v>
          </cell>
          <cell r="I152">
            <v>17605080</v>
          </cell>
        </row>
        <row r="153">
          <cell r="C153" t="str">
            <v>심평연</v>
          </cell>
          <cell r="D153" t="str">
            <v>980626</v>
          </cell>
          <cell r="E153" t="str">
            <v>540812-1664312</v>
          </cell>
          <cell r="F153" t="str">
            <v>인천 계양 효성 248-1 22/1 롯데효성(아) 1-403</v>
          </cell>
          <cell r="G153">
            <v>90087620</v>
          </cell>
          <cell r="H153">
            <v>353762434</v>
          </cell>
          <cell r="I153">
            <v>22913460</v>
          </cell>
        </row>
        <row r="154">
          <cell r="I154">
            <v>83628090</v>
          </cell>
        </row>
        <row r="155">
          <cell r="C155" t="str">
            <v>여대헌</v>
          </cell>
          <cell r="D155" t="str">
            <v>951026</v>
          </cell>
          <cell r="E155" t="str">
            <v>560517-1006410</v>
          </cell>
          <cell r="F155" t="str">
            <v>인천 계양 계산 76 16/2 영남(아) 2-216</v>
          </cell>
          <cell r="G155">
            <v>35296000</v>
          </cell>
          <cell r="H155">
            <v>35296000</v>
          </cell>
          <cell r="I155">
            <v>10236000</v>
          </cell>
        </row>
        <row r="156">
          <cell r="C156" t="str">
            <v>여대헌</v>
          </cell>
          <cell r="D156" t="str">
            <v>951130</v>
          </cell>
          <cell r="E156" t="str">
            <v>560517-1006410</v>
          </cell>
          <cell r="F156" t="str">
            <v>인천 계양 계산 76 16/2 영남(아) 2-216</v>
          </cell>
          <cell r="G156">
            <v>2803680</v>
          </cell>
          <cell r="H156">
            <v>38099680</v>
          </cell>
          <cell r="I156">
            <v>1021940</v>
          </cell>
        </row>
        <row r="157">
          <cell r="C157" t="str">
            <v>여대헌</v>
          </cell>
          <cell r="D157" t="str">
            <v>951230</v>
          </cell>
          <cell r="E157" t="str">
            <v>560517-1006410</v>
          </cell>
          <cell r="F157" t="str">
            <v>인천 계양 계산 76 16/2 영남(아) 2-216</v>
          </cell>
          <cell r="G157">
            <v>26472000</v>
          </cell>
          <cell r="H157">
            <v>64571680</v>
          </cell>
          <cell r="I157">
            <v>9763010</v>
          </cell>
        </row>
        <row r="158">
          <cell r="C158" t="str">
            <v>여대헌</v>
          </cell>
          <cell r="D158" t="str">
            <v>961230</v>
          </cell>
          <cell r="E158" t="str">
            <v>560517-1006410</v>
          </cell>
          <cell r="F158" t="str">
            <v>인천 계양 계산 76 16/2 영남(아) 2-216</v>
          </cell>
          <cell r="G158">
            <v>10667800</v>
          </cell>
          <cell r="H158">
            <v>75239480</v>
          </cell>
          <cell r="I158">
            <v>2774980</v>
          </cell>
        </row>
        <row r="159">
          <cell r="C159" t="str">
            <v>여대헌</v>
          </cell>
          <cell r="D159" t="str">
            <v>980626</v>
          </cell>
          <cell r="E159" t="str">
            <v>560517-1006410</v>
          </cell>
          <cell r="F159" t="str">
            <v>인천 계양 계산 76 16/2 영남(아) 2-216</v>
          </cell>
          <cell r="G159">
            <v>3241120</v>
          </cell>
          <cell r="H159">
            <v>78480600</v>
          </cell>
          <cell r="I159">
            <v>421340</v>
          </cell>
        </row>
        <row r="160">
          <cell r="I160">
            <v>24217270</v>
          </cell>
        </row>
        <row r="161">
          <cell r="C161" t="str">
            <v>이성욱</v>
          </cell>
          <cell r="D161" t="str">
            <v>000424</v>
          </cell>
          <cell r="E161" t="str">
            <v>611225-1030035</v>
          </cell>
          <cell r="F161" t="str">
            <v>인천 부평 산곡 311-126 22/6 현대(아) 208-305</v>
          </cell>
          <cell r="G161">
            <v>116468136</v>
          </cell>
          <cell r="H161">
            <v>163125794</v>
          </cell>
          <cell r="I161">
            <v>24962060</v>
          </cell>
        </row>
        <row r="162">
          <cell r="C162" t="str">
            <v>이성욱</v>
          </cell>
          <cell r="D162" t="str">
            <v>951026</v>
          </cell>
          <cell r="E162" t="str">
            <v>611225-1030035</v>
          </cell>
          <cell r="F162" t="str">
            <v>인천 부평 산곡 311-126 22/6 현대(아) 208-305</v>
          </cell>
          <cell r="G162">
            <v>35296000</v>
          </cell>
          <cell r="H162">
            <v>35296000</v>
          </cell>
          <cell r="I162">
            <v>10236000</v>
          </cell>
        </row>
        <row r="163">
          <cell r="C163" t="str">
            <v>이성욱</v>
          </cell>
          <cell r="D163" t="str">
            <v>951130</v>
          </cell>
          <cell r="E163" t="str">
            <v>611225-1030035</v>
          </cell>
          <cell r="F163" t="str">
            <v>인천 부평 산곡 311-126 22/6 현대(아) 208-305</v>
          </cell>
          <cell r="G163">
            <v>2823680</v>
          </cell>
          <cell r="H163">
            <v>38119680</v>
          </cell>
          <cell r="I163">
            <v>1029250</v>
          </cell>
        </row>
        <row r="164">
          <cell r="C164" t="str">
            <v>이성욱</v>
          </cell>
          <cell r="D164" t="str">
            <v>951230</v>
          </cell>
          <cell r="E164" t="str">
            <v>611225-1030035</v>
          </cell>
          <cell r="F164" t="str">
            <v>인천 부평 산곡 311-126 22/6 현대(아) 208-305</v>
          </cell>
          <cell r="G164">
            <v>3529600</v>
          </cell>
          <cell r="H164">
            <v>41649280</v>
          </cell>
          <cell r="I164">
            <v>1289700</v>
          </cell>
        </row>
        <row r="165">
          <cell r="C165" t="str">
            <v>이성욱</v>
          </cell>
          <cell r="D165" t="str">
            <v>961230</v>
          </cell>
          <cell r="E165" t="str">
            <v>611225-1030035</v>
          </cell>
          <cell r="F165" t="str">
            <v>인천 부평 산곡 311-126 22/6 현대(아) 208-305</v>
          </cell>
          <cell r="G165">
            <v>3064568</v>
          </cell>
          <cell r="H165">
            <v>44713848</v>
          </cell>
          <cell r="I165">
            <v>713750</v>
          </cell>
        </row>
        <row r="166">
          <cell r="C166" t="str">
            <v>이성욱</v>
          </cell>
          <cell r="D166" t="str">
            <v>980626</v>
          </cell>
          <cell r="E166" t="str">
            <v>611225-1030035</v>
          </cell>
          <cell r="F166" t="str">
            <v>인천 부평 산곡 311-126 22/6 현대(아) 208-305</v>
          </cell>
          <cell r="G166">
            <v>1943810</v>
          </cell>
          <cell r="H166">
            <v>46657658</v>
          </cell>
          <cell r="I166">
            <v>252690</v>
          </cell>
        </row>
        <row r="167">
          <cell r="I167">
            <v>38483450</v>
          </cell>
        </row>
        <row r="168">
          <cell r="C168" t="str">
            <v>송춘섭</v>
          </cell>
          <cell r="D168" t="str">
            <v>961230</v>
          </cell>
          <cell r="E168" t="str">
            <v>610804-1143415</v>
          </cell>
          <cell r="F168" t="str">
            <v>경기 김포 풍무 583-6 20/2 유현마을 109-1003</v>
          </cell>
          <cell r="G168">
            <v>969800</v>
          </cell>
          <cell r="H168">
            <v>969800</v>
          </cell>
          <cell r="I168">
            <v>145470</v>
          </cell>
        </row>
        <row r="169">
          <cell r="C169" t="str">
            <v>송춘섭</v>
          </cell>
          <cell r="D169" t="str">
            <v>980626</v>
          </cell>
          <cell r="E169" t="str">
            <v>610804-1143415</v>
          </cell>
          <cell r="F169" t="str">
            <v>경기 김포 풍무 583-6 20/2 유현마을 109-1003</v>
          </cell>
          <cell r="G169">
            <v>21550</v>
          </cell>
          <cell r="H169">
            <v>991350</v>
          </cell>
          <cell r="I169">
            <v>0</v>
          </cell>
        </row>
        <row r="170">
          <cell r="C170" t="str">
            <v>송춘섭</v>
          </cell>
          <cell r="D170" t="str">
            <v>981223</v>
          </cell>
          <cell r="E170" t="str">
            <v>610804-1143415</v>
          </cell>
          <cell r="F170" t="str">
            <v>경기 김포 풍무 583-6 20/2 유현마을 109-1003</v>
          </cell>
          <cell r="G170">
            <v>17122000</v>
          </cell>
          <cell r="H170">
            <v>18113350</v>
          </cell>
          <cell r="I170">
            <v>2225860</v>
          </cell>
        </row>
        <row r="171">
          <cell r="I171">
            <v>2371330</v>
          </cell>
        </row>
        <row r="172">
          <cell r="C172" t="str">
            <v>임병문</v>
          </cell>
          <cell r="D172" t="str">
            <v>961230</v>
          </cell>
          <cell r="E172" t="str">
            <v>610603-1480513</v>
          </cell>
          <cell r="F172" t="str">
            <v>인천 서 가좌 399 7/4 로얄타운 4-208</v>
          </cell>
          <cell r="G172">
            <v>484900</v>
          </cell>
          <cell r="H172">
            <v>484900</v>
          </cell>
          <cell r="I172">
            <v>72730</v>
          </cell>
        </row>
        <row r="173">
          <cell r="C173" t="str">
            <v>임병문</v>
          </cell>
          <cell r="D173" t="str">
            <v>980626</v>
          </cell>
          <cell r="E173" t="str">
            <v>610603-1480513</v>
          </cell>
          <cell r="F173" t="str">
            <v>인천 서 가좌 399 7/4 로얄타운 4-208</v>
          </cell>
          <cell r="G173">
            <v>8620</v>
          </cell>
          <cell r="H173">
            <v>493520</v>
          </cell>
          <cell r="I173">
            <v>0</v>
          </cell>
        </row>
        <row r="174">
          <cell r="C174" t="str">
            <v>임병문</v>
          </cell>
          <cell r="D174" t="str">
            <v>임병문</v>
          </cell>
          <cell r="E174" t="str">
            <v>임병문</v>
          </cell>
          <cell r="F174" t="str">
            <v>임병문</v>
          </cell>
          <cell r="G174" t="str">
            <v>임병문</v>
          </cell>
          <cell r="H174" t="str">
            <v>임병문</v>
          </cell>
          <cell r="I174">
            <v>2225860</v>
          </cell>
        </row>
        <row r="175">
          <cell r="I175">
            <v>2298590</v>
          </cell>
        </row>
        <row r="176">
          <cell r="C176" t="str">
            <v>이재희</v>
          </cell>
          <cell r="D176" t="str">
            <v>000424</v>
          </cell>
          <cell r="E176" t="str">
            <v>290808-1052414</v>
          </cell>
          <cell r="F176" t="str">
            <v>경기 성남 분당 서현 91 18/3 한양(아) 309-702</v>
          </cell>
          <cell r="G176">
            <v>455553792</v>
          </cell>
          <cell r="H176">
            <v>474154192</v>
          </cell>
          <cell r="I176">
            <v>107568480</v>
          </cell>
        </row>
        <row r="177">
          <cell r="C177" t="str">
            <v>이재희</v>
          </cell>
          <cell r="D177" t="str">
            <v>910430</v>
          </cell>
          <cell r="E177" t="str">
            <v>290808-1052414</v>
          </cell>
          <cell r="F177" t="str">
            <v>경기 성남 분당 서현 91 18/3 한양(아) 309-702</v>
          </cell>
          <cell r="G177">
            <v>83648108</v>
          </cell>
          <cell r="H177">
            <v>83648108</v>
          </cell>
          <cell r="I177">
            <v>29868040</v>
          </cell>
        </row>
        <row r="178">
          <cell r="C178" t="str">
            <v>이재희</v>
          </cell>
          <cell r="D178" t="str">
            <v>910901</v>
          </cell>
          <cell r="E178" t="str">
            <v>290808-1052414</v>
          </cell>
          <cell r="F178" t="str">
            <v>경기 성남 분당 서현 91 18/3 한양(아) 309-702</v>
          </cell>
          <cell r="G178">
            <v>3449151</v>
          </cell>
          <cell r="H178">
            <v>87097259</v>
          </cell>
          <cell r="I178">
            <v>1285510</v>
          </cell>
        </row>
        <row r="179">
          <cell r="C179" t="str">
            <v>이재희</v>
          </cell>
          <cell r="D179" t="str">
            <v>930812</v>
          </cell>
          <cell r="E179" t="str">
            <v>290808-1052414</v>
          </cell>
          <cell r="F179" t="str">
            <v>경기 성남 분당 서현 91 18/3 한양(아) 309-702</v>
          </cell>
          <cell r="G179">
            <v>12513890</v>
          </cell>
          <cell r="H179">
            <v>99611149</v>
          </cell>
          <cell r="I179">
            <v>5941140</v>
          </cell>
        </row>
        <row r="180">
          <cell r="C180" t="str">
            <v>이재희</v>
          </cell>
          <cell r="D180" t="str">
            <v>941220</v>
          </cell>
          <cell r="E180" t="str">
            <v>290808-1052414</v>
          </cell>
          <cell r="F180" t="str">
            <v>경기 성남 분당 서현 91 18/3 한양(아) 309-702</v>
          </cell>
          <cell r="G180">
            <v>10445008</v>
          </cell>
          <cell r="H180">
            <v>110056157</v>
          </cell>
          <cell r="I180">
            <v>3632160</v>
          </cell>
        </row>
        <row r="181">
          <cell r="C181" t="str">
            <v>이재희</v>
          </cell>
          <cell r="D181" t="str">
            <v>951230</v>
          </cell>
          <cell r="E181" t="str">
            <v>290808-1052414</v>
          </cell>
          <cell r="F181" t="str">
            <v>경기 성남 분당 서현 91 18/3 한양(아) 309-702</v>
          </cell>
          <cell r="G181">
            <v>11118240</v>
          </cell>
          <cell r="H181">
            <v>121174397</v>
          </cell>
          <cell r="I181">
            <v>4132630</v>
          </cell>
        </row>
        <row r="182">
          <cell r="C182" t="str">
            <v>이재희</v>
          </cell>
          <cell r="D182" t="str">
            <v>980626</v>
          </cell>
          <cell r="E182" t="str">
            <v>290808-1052414</v>
          </cell>
          <cell r="F182" t="str">
            <v>경기 성남 분당 서현 91 18/3 한양(아) 309-702</v>
          </cell>
          <cell r="G182">
            <v>7482160</v>
          </cell>
          <cell r="H182">
            <v>41559298</v>
          </cell>
          <cell r="I182">
            <v>972680</v>
          </cell>
        </row>
        <row r="183">
          <cell r="I183">
            <v>153400640</v>
          </cell>
        </row>
        <row r="184">
          <cell r="C184" t="str">
            <v>김상규</v>
          </cell>
          <cell r="D184" t="str">
            <v>910430</v>
          </cell>
          <cell r="E184" t="str">
            <v>361205-1024115</v>
          </cell>
          <cell r="F184" t="str">
            <v>서울 성북 동선3가 254-1 현대아트빌리지 B-102</v>
          </cell>
          <cell r="G184">
            <v>13946000</v>
          </cell>
          <cell r="H184">
            <v>13946000</v>
          </cell>
          <cell r="I184">
            <v>3729750</v>
          </cell>
        </row>
        <row r="185">
          <cell r="C185" t="str">
            <v>김상규</v>
          </cell>
          <cell r="D185" t="str">
            <v>910901</v>
          </cell>
          <cell r="E185" t="str">
            <v>361205-1024115</v>
          </cell>
          <cell r="F185" t="str">
            <v>서울 성북 동선3가 254-1 현대아트빌리지 B-102</v>
          </cell>
          <cell r="G185">
            <v>9891420</v>
          </cell>
          <cell r="H185">
            <v>23837420</v>
          </cell>
          <cell r="I185">
            <v>3626290</v>
          </cell>
        </row>
        <row r="186">
          <cell r="I186">
            <v>7356040</v>
          </cell>
        </row>
        <row r="187">
          <cell r="C187" t="str">
            <v>김동성</v>
          </cell>
          <cell r="D187" t="str">
            <v>910430</v>
          </cell>
          <cell r="E187" t="str">
            <v>220520-1055611</v>
          </cell>
          <cell r="F187" t="str">
            <v>서울 송파 가락 34-38</v>
          </cell>
          <cell r="G187">
            <v>139460000</v>
          </cell>
          <cell r="H187">
            <v>139460000</v>
          </cell>
          <cell r="I187">
            <v>58216500</v>
          </cell>
        </row>
        <row r="188">
          <cell r="C188" t="str">
            <v>김동성</v>
          </cell>
          <cell r="D188" t="str">
            <v>910901</v>
          </cell>
          <cell r="E188" t="str">
            <v>220520-1055611</v>
          </cell>
          <cell r="F188" t="str">
            <v>서울 송파 가락 34-38</v>
          </cell>
          <cell r="G188">
            <v>9576693</v>
          </cell>
          <cell r="H188">
            <v>149036693</v>
          </cell>
          <cell r="I188">
            <v>4899249</v>
          </cell>
        </row>
        <row r="189">
          <cell r="I189">
            <v>63115749</v>
          </cell>
        </row>
        <row r="190">
          <cell r="C190" t="str">
            <v>이명학</v>
          </cell>
          <cell r="D190" t="str">
            <v>921130</v>
          </cell>
          <cell r="E190" t="str">
            <v>551017-1090614</v>
          </cell>
          <cell r="F190" t="str">
            <v>부산 해운대 우 938 34/6 롯데(아) 2-906</v>
          </cell>
          <cell r="G190">
            <v>233914785</v>
          </cell>
          <cell r="H190">
            <v>233914785</v>
          </cell>
          <cell r="I190">
            <v>107805260</v>
          </cell>
        </row>
        <row r="191">
          <cell r="C191" t="str">
            <v>이명학</v>
          </cell>
          <cell r="D191" t="str">
            <v>930812</v>
          </cell>
          <cell r="E191" t="str">
            <v>551017-1090614</v>
          </cell>
          <cell r="F191" t="str">
            <v>부산 해운대 우 938 34/6 롯데(아) 2-906</v>
          </cell>
          <cell r="G191">
            <v>32291429</v>
          </cell>
          <cell r="H191">
            <v>266206214</v>
          </cell>
          <cell r="I191">
            <v>18856520</v>
          </cell>
        </row>
        <row r="192">
          <cell r="C192" t="str">
            <v>이명학</v>
          </cell>
          <cell r="D192" t="str">
            <v>941220</v>
          </cell>
          <cell r="E192" t="str">
            <v>551017-1090614</v>
          </cell>
          <cell r="F192" t="str">
            <v>부산 해운대 우 938 34/6 롯데(아) 2-906</v>
          </cell>
          <cell r="G192">
            <v>26951330</v>
          </cell>
          <cell r="H192">
            <v>293157544</v>
          </cell>
          <cell r="I192">
            <v>11805110</v>
          </cell>
        </row>
        <row r="193">
          <cell r="C193" t="str">
            <v>이명학</v>
          </cell>
          <cell r="D193" t="str">
            <v>951130</v>
          </cell>
          <cell r="E193" t="str">
            <v>551017-1090614</v>
          </cell>
          <cell r="F193" t="str">
            <v>부산 해운대 우 938 34/6 롯데(아) 2-906</v>
          </cell>
          <cell r="G193">
            <v>28695648</v>
          </cell>
          <cell r="H193">
            <v>321853192</v>
          </cell>
          <cell r="I193">
            <v>17641960</v>
          </cell>
        </row>
        <row r="194">
          <cell r="C194" t="str">
            <v>이명학</v>
          </cell>
          <cell r="D194" t="str">
            <v>980626</v>
          </cell>
          <cell r="E194" t="str">
            <v>551017-1090614</v>
          </cell>
          <cell r="F194" t="str">
            <v>부산 해운대 우 938 34/6 롯데(아) 2-906</v>
          </cell>
          <cell r="G194">
            <v>15300500</v>
          </cell>
          <cell r="H194">
            <v>103238907</v>
          </cell>
          <cell r="I194">
            <v>2051460</v>
          </cell>
        </row>
        <row r="195">
          <cell r="I195">
            <v>158160310</v>
          </cell>
        </row>
        <row r="196">
          <cell r="C196" t="str">
            <v>김학전</v>
          </cell>
          <cell r="D196" t="str">
            <v>961230</v>
          </cell>
          <cell r="E196" t="str">
            <v>620604-1481212</v>
          </cell>
          <cell r="F196" t="str">
            <v>경기 수원 권선 구운 462 15/4 삼환(아) 8-1308</v>
          </cell>
          <cell r="G196">
            <v>969800</v>
          </cell>
          <cell r="H196">
            <v>969800</v>
          </cell>
          <cell r="I196">
            <v>145470</v>
          </cell>
        </row>
        <row r="197">
          <cell r="C197" t="str">
            <v>김학전</v>
          </cell>
          <cell r="D197" t="str">
            <v>980626</v>
          </cell>
          <cell r="E197" t="str">
            <v>620604-1481212</v>
          </cell>
          <cell r="F197" t="str">
            <v>경기 수원 권선 구운 462 15/4 삼환(아) 8-1308</v>
          </cell>
          <cell r="G197">
            <v>8620</v>
          </cell>
          <cell r="H197">
            <v>978420</v>
          </cell>
          <cell r="I197">
            <v>0</v>
          </cell>
        </row>
        <row r="198">
          <cell r="C198" t="str">
            <v>김학전</v>
          </cell>
          <cell r="D198" t="str">
            <v>981223</v>
          </cell>
          <cell r="E198" t="str">
            <v>620604-1481212</v>
          </cell>
          <cell r="F198" t="str">
            <v>경기 수원 권선 구운 462 15/4 삼환(아) 8-1308</v>
          </cell>
          <cell r="G198">
            <v>16877400</v>
          </cell>
          <cell r="H198">
            <v>17855820</v>
          </cell>
          <cell r="I198">
            <v>2194060</v>
          </cell>
        </row>
        <row r="199">
          <cell r="I199">
            <v>2339530</v>
          </cell>
        </row>
        <row r="200">
          <cell r="C200" t="str">
            <v>김진배</v>
          </cell>
          <cell r="D200" t="str">
            <v>000131</v>
          </cell>
          <cell r="E200" t="str">
            <v>340119-1047713</v>
          </cell>
          <cell r="F200" t="str">
            <v>경기 안산 본오 879-16 신안(아) 202-1605</v>
          </cell>
          <cell r="G200">
            <v>300000000</v>
          </cell>
          <cell r="H200">
            <v>523140000</v>
          </cell>
          <cell r="I200">
            <v>73304110</v>
          </cell>
        </row>
        <row r="201">
          <cell r="C201" t="str">
            <v>김진배</v>
          </cell>
          <cell r="D201" t="str">
            <v>910430</v>
          </cell>
          <cell r="E201" t="str">
            <v>340119-1047713</v>
          </cell>
          <cell r="F201" t="str">
            <v>경기 안산 본오 879-16 신안(아) 202-1605</v>
          </cell>
          <cell r="G201">
            <v>104595000</v>
          </cell>
          <cell r="H201">
            <v>104595000</v>
          </cell>
          <cell r="I201">
            <v>39912370</v>
          </cell>
        </row>
        <row r="202">
          <cell r="C202" t="str">
            <v>김진배</v>
          </cell>
          <cell r="D202" t="str">
            <v>910901</v>
          </cell>
          <cell r="E202" t="str">
            <v>340119-1047713</v>
          </cell>
          <cell r="F202" t="str">
            <v>경기 안산 본오 879-16 신안(아) 202-1605</v>
          </cell>
          <cell r="G202">
            <v>4309833</v>
          </cell>
          <cell r="H202">
            <v>108904833</v>
          </cell>
          <cell r="I202">
            <v>2183510</v>
          </cell>
        </row>
        <row r="203">
          <cell r="C203" t="str">
            <v>김진배</v>
          </cell>
          <cell r="D203" t="str">
            <v>930812</v>
          </cell>
          <cell r="E203" t="str">
            <v>340119-1047713</v>
          </cell>
          <cell r="F203" t="str">
            <v>경기 안산 본오 879-16 신안(아) 202-1605</v>
          </cell>
          <cell r="G203">
            <v>15652849</v>
          </cell>
          <cell r="H203">
            <v>124557682</v>
          </cell>
          <cell r="I203">
            <v>7966410</v>
          </cell>
        </row>
        <row r="204">
          <cell r="C204" t="str">
            <v>김진배</v>
          </cell>
          <cell r="D204" t="str">
            <v>941220</v>
          </cell>
          <cell r="E204" t="str">
            <v>340119-1047713</v>
          </cell>
          <cell r="F204" t="str">
            <v>경기 안산 본오 879-16 신안(아) 202-1605</v>
          </cell>
          <cell r="G204">
            <v>13063554</v>
          </cell>
          <cell r="H204">
            <v>137621236</v>
          </cell>
          <cell r="I204">
            <v>4614060</v>
          </cell>
        </row>
        <row r="205">
          <cell r="C205" t="str">
            <v>김진배</v>
          </cell>
          <cell r="D205" t="str">
            <v>950926</v>
          </cell>
          <cell r="E205" t="str">
            <v>340119-1047713</v>
          </cell>
          <cell r="F205" t="str">
            <v>경기 안산 본오 879-16 신안(아) 202-1605</v>
          </cell>
          <cell r="G205">
            <v>223140000</v>
          </cell>
          <cell r="H205">
            <v>360761236</v>
          </cell>
          <cell r="I205">
            <v>91228540</v>
          </cell>
        </row>
        <row r="206">
          <cell r="I206">
            <v>219209000</v>
          </cell>
        </row>
        <row r="207">
          <cell r="C207" t="str">
            <v>김신용</v>
          </cell>
          <cell r="D207" t="str">
            <v>950113</v>
          </cell>
          <cell r="E207" t="str">
            <v>590312-1068918</v>
          </cell>
          <cell r="F207" t="str">
            <v>경기 군포 산본 1151-5 5/2 수리(아) 820-1902</v>
          </cell>
          <cell r="G207">
            <v>41424432</v>
          </cell>
          <cell r="H207">
            <v>41424432</v>
          </cell>
          <cell r="I207">
            <v>12534160</v>
          </cell>
        </row>
        <row r="208">
          <cell r="C208" t="str">
            <v>김신용</v>
          </cell>
          <cell r="D208" t="str">
            <v>950117</v>
          </cell>
          <cell r="E208" t="str">
            <v>590312-1068918</v>
          </cell>
          <cell r="F208" t="str">
            <v>경기 군포 산본 1151-5 5/2 수리(아) 820-1902</v>
          </cell>
          <cell r="G208">
            <v>414307467</v>
          </cell>
          <cell r="H208">
            <v>455731899</v>
          </cell>
          <cell r="I208">
            <v>223382310</v>
          </cell>
        </row>
        <row r="209">
          <cell r="C209" t="str">
            <v>김신용</v>
          </cell>
          <cell r="D209" t="str">
            <v>951005</v>
          </cell>
          <cell r="E209" t="str">
            <v>590312-1068918</v>
          </cell>
          <cell r="F209" t="str">
            <v>경기 군포 산본 1151-5 5/2 수리(아) 820-1902</v>
          </cell>
          <cell r="G209">
            <v>44120000</v>
          </cell>
          <cell r="H209">
            <v>499851899</v>
          </cell>
          <cell r="I209">
            <v>28951290</v>
          </cell>
        </row>
        <row r="210">
          <cell r="C210" t="str">
            <v>김신용</v>
          </cell>
          <cell r="D210" t="str">
            <v>951026</v>
          </cell>
          <cell r="E210" t="str">
            <v>590312-1068918</v>
          </cell>
          <cell r="F210" t="str">
            <v>경기 군포 산본 1151-5 5/2 수리(아) 820-1902</v>
          </cell>
          <cell r="G210">
            <v>35296000</v>
          </cell>
          <cell r="H210">
            <v>535147899</v>
          </cell>
          <cell r="I210">
            <v>27820400</v>
          </cell>
        </row>
        <row r="211">
          <cell r="C211" t="str">
            <v>김신용</v>
          </cell>
          <cell r="D211" t="str">
            <v>951130</v>
          </cell>
          <cell r="E211" t="str">
            <v>590312-1068918</v>
          </cell>
          <cell r="F211" t="str">
            <v>경기 군포 산본 1151-5 5/2 수리(아) 820-1902</v>
          </cell>
          <cell r="G211">
            <v>6353280</v>
          </cell>
          <cell r="H211">
            <v>541501179</v>
          </cell>
          <cell r="I211">
            <v>5013840</v>
          </cell>
        </row>
        <row r="212">
          <cell r="C212" t="str">
            <v>김신용</v>
          </cell>
          <cell r="D212" t="str">
            <v>960103</v>
          </cell>
          <cell r="E212" t="str">
            <v>590312-1068918</v>
          </cell>
          <cell r="F212" t="str">
            <v>경기 군포 산본 1151-5 5/2 수리(아) 820-1902</v>
          </cell>
          <cell r="G212">
            <v>45040986</v>
          </cell>
          <cell r="H212">
            <v>586542165</v>
          </cell>
          <cell r="I212">
            <v>21610840</v>
          </cell>
        </row>
        <row r="213">
          <cell r="C213" t="str">
            <v>김신용</v>
          </cell>
          <cell r="D213" t="str">
            <v>980626</v>
          </cell>
          <cell r="E213" t="str">
            <v>590312-1068918</v>
          </cell>
          <cell r="F213" t="str">
            <v>경기 군포 산본 1151-5 5/2 수리(아) 820-1902</v>
          </cell>
          <cell r="G213">
            <v>18597650</v>
          </cell>
          <cell r="H213">
            <v>605139815</v>
          </cell>
          <cell r="I213">
            <v>4855920</v>
          </cell>
        </row>
        <row r="214">
          <cell r="C214" t="str">
            <v>김신용</v>
          </cell>
          <cell r="D214" t="str">
            <v>990429</v>
          </cell>
          <cell r="E214" t="str">
            <v>590312-1068918</v>
          </cell>
          <cell r="F214" t="str">
            <v>경기 군포 산본 1151-5 5/2 수리(아) 820-1902</v>
          </cell>
          <cell r="G214">
            <v>788800</v>
          </cell>
          <cell r="H214">
            <v>605928615</v>
          </cell>
          <cell r="I214">
            <v>292010</v>
          </cell>
        </row>
        <row r="215">
          <cell r="C215" t="str">
            <v>김신용</v>
          </cell>
          <cell r="D215" t="str">
            <v>990617</v>
          </cell>
          <cell r="E215" t="str">
            <v>590312-1068918</v>
          </cell>
          <cell r="F215" t="str">
            <v>경기 군포 산본 1151-5 5/2 수리(아) 820-1902</v>
          </cell>
          <cell r="G215">
            <v>255654000</v>
          </cell>
          <cell r="H215">
            <v>861582615</v>
          </cell>
          <cell r="I215">
            <v>96144340</v>
          </cell>
        </row>
        <row r="216">
          <cell r="I216">
            <v>420605110</v>
          </cell>
        </row>
        <row r="217">
          <cell r="C217" t="str">
            <v>전원규</v>
          </cell>
          <cell r="D217" t="str">
            <v>951026</v>
          </cell>
          <cell r="E217" t="str">
            <v>550405-1177518</v>
          </cell>
          <cell r="F217" t="str">
            <v>경기 안양 만안 박달 60-18 8/2</v>
          </cell>
          <cell r="G217">
            <v>53826400</v>
          </cell>
          <cell r="H217">
            <v>53826400</v>
          </cell>
          <cell r="I217">
            <v>17184900</v>
          </cell>
        </row>
        <row r="218">
          <cell r="C218" t="str">
            <v>전원규</v>
          </cell>
          <cell r="D218" t="str">
            <v>951130</v>
          </cell>
          <cell r="E218" t="str">
            <v>550405-1177518</v>
          </cell>
          <cell r="F218" t="str">
            <v>경기 안양 만안 박달 60-18 8/2</v>
          </cell>
          <cell r="G218">
            <v>4306112</v>
          </cell>
          <cell r="H218">
            <v>58132512</v>
          </cell>
          <cell r="I218">
            <v>1585160</v>
          </cell>
        </row>
        <row r="219">
          <cell r="I219">
            <v>18770060</v>
          </cell>
        </row>
        <row r="220">
          <cell r="C220" t="str">
            <v>조동환</v>
          </cell>
          <cell r="D220" t="str">
            <v>910901</v>
          </cell>
          <cell r="E220" t="str">
            <v>220308-1051110</v>
          </cell>
          <cell r="F220" t="str">
            <v>서울 용산 후암 110-6</v>
          </cell>
          <cell r="G220">
            <v>9570270</v>
          </cell>
          <cell r="H220">
            <v>9570270</v>
          </cell>
          <cell r="I220">
            <v>2153310</v>
          </cell>
        </row>
        <row r="221">
          <cell r="C221" t="str">
            <v>조동환</v>
          </cell>
          <cell r="D221" t="str">
            <v>930812</v>
          </cell>
          <cell r="E221" t="str">
            <v>220308-1051110</v>
          </cell>
          <cell r="F221" t="str">
            <v>서울 용산 후암 110-6</v>
          </cell>
          <cell r="G221">
            <v>34724297</v>
          </cell>
          <cell r="H221">
            <v>44294567</v>
          </cell>
          <cell r="I221">
            <v>12808950</v>
          </cell>
        </row>
        <row r="222">
          <cell r="I222">
            <v>14962260</v>
          </cell>
        </row>
        <row r="223">
          <cell r="C223" t="str">
            <v>진현수</v>
          </cell>
          <cell r="D223" t="str">
            <v>911219</v>
          </cell>
          <cell r="E223" t="str">
            <v>480102-1483316</v>
          </cell>
          <cell r="F223" t="str">
            <v>전북 전주 덕진 송천 1 298-1 22/4</v>
          </cell>
          <cell r="G223">
            <v>407809110</v>
          </cell>
          <cell r="H223">
            <v>407809110</v>
          </cell>
          <cell r="I223">
            <v>222771140</v>
          </cell>
        </row>
        <row r="224">
          <cell r="C224" t="str">
            <v>진현수</v>
          </cell>
          <cell r="D224" t="str">
            <v>930812</v>
          </cell>
          <cell r="E224" t="str">
            <v>480102-1483316</v>
          </cell>
          <cell r="F224" t="str">
            <v>전북 전주 덕진 송천 1 298-1 22/4</v>
          </cell>
          <cell r="G224">
            <v>63408370</v>
          </cell>
          <cell r="H224">
            <v>471217480</v>
          </cell>
          <cell r="I224">
            <v>41858710</v>
          </cell>
        </row>
        <row r="225">
          <cell r="C225" t="str">
            <v>진현수</v>
          </cell>
          <cell r="D225" t="str">
            <v>941220</v>
          </cell>
          <cell r="E225" t="str">
            <v>480102-1483316</v>
          </cell>
          <cell r="F225" t="str">
            <v>전북 전주 덕진 송천 1 298-1 22/4</v>
          </cell>
          <cell r="G225">
            <v>52925264</v>
          </cell>
          <cell r="H225">
            <v>524142744</v>
          </cell>
          <cell r="I225">
            <v>28971490</v>
          </cell>
        </row>
        <row r="226">
          <cell r="C226" t="str">
            <v>진현수</v>
          </cell>
          <cell r="D226" t="str">
            <v>951130</v>
          </cell>
          <cell r="E226" t="str">
            <v>480102-1483316</v>
          </cell>
          <cell r="F226" t="str">
            <v>전북 전주 덕진 송천 1 298-1 22/4</v>
          </cell>
          <cell r="G226">
            <v>56341240</v>
          </cell>
          <cell r="H226">
            <v>580483984</v>
          </cell>
          <cell r="I226">
            <v>44598570</v>
          </cell>
        </row>
        <row r="227">
          <cell r="I227">
            <v>338199910</v>
          </cell>
        </row>
        <row r="228">
          <cell r="C228" t="str">
            <v>임흥식</v>
          </cell>
          <cell r="D228" t="str">
            <v>981223</v>
          </cell>
          <cell r="E228" t="str">
            <v>470620-1489717</v>
          </cell>
          <cell r="F228" t="str">
            <v>서울 종로 홍지 127-14 8/4</v>
          </cell>
          <cell r="G228">
            <v>15409800</v>
          </cell>
          <cell r="H228">
            <v>15409800</v>
          </cell>
          <cell r="I228">
            <v>2003270</v>
          </cell>
        </row>
        <row r="229">
          <cell r="I229">
            <v>2003270</v>
          </cell>
        </row>
        <row r="230">
          <cell r="C230" t="str">
            <v>정태수</v>
          </cell>
          <cell r="D230" t="str">
            <v>000424</v>
          </cell>
          <cell r="E230" t="str">
            <v>551212-1000111</v>
          </cell>
          <cell r="F230" t="str">
            <v>서울 종로 평창 505-10</v>
          </cell>
          <cell r="G230">
            <v>20819192</v>
          </cell>
          <cell r="H230">
            <v>20819192</v>
          </cell>
          <cell r="I230">
            <v>2706490</v>
          </cell>
        </row>
        <row r="231">
          <cell r="C231" t="str">
            <v>정태수</v>
          </cell>
          <cell r="D231" t="str">
            <v>000426</v>
          </cell>
          <cell r="E231" t="str">
            <v>551212-1000111</v>
          </cell>
          <cell r="F231" t="str">
            <v>서울 종로 평창 505-10</v>
          </cell>
          <cell r="G231">
            <v>18182667</v>
          </cell>
          <cell r="H231">
            <v>18182667</v>
          </cell>
          <cell r="I231">
            <v>2363740</v>
          </cell>
        </row>
        <row r="232">
          <cell r="I232">
            <v>5070230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mm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김병주" refreshedDate="40928.53564652778" createdVersion="3" refreshedVersion="3" minRefreshableVersion="3" recordCount="1119">
  <cacheSource type="worksheet">
    <worksheetSource ref="A1:J1120" sheet="Sheet1"/>
  </cacheSource>
  <cacheFields count="10">
    <cacheField name="계정명" numFmtId="0">
      <sharedItems count="20">
        <s v="회의비"/>
        <s v="기관운영비"/>
        <s v="직책보조비"/>
        <s v="대외협력비"/>
        <s v="복리후생비"/>
        <s v="교육훈련비"/>
        <s v="교통비"/>
        <s v="세금과공과금"/>
        <s v="보험료"/>
        <s v="수도광열비"/>
        <s v="통신비"/>
        <s v="운·발송비"/>
        <s v="수수료비용"/>
        <s v="도서인쇄비"/>
        <s v="사무용품비"/>
        <s v="수선비"/>
        <s v="기타경상비"/>
        <s v="시설장비유지비"/>
        <s v="잡지출"/>
        <s v="퇴직급여"/>
      </sharedItems>
    </cacheField>
    <cacheField name="날짜" numFmtId="0">
      <sharedItems/>
    </cacheField>
    <cacheField name="월" numFmtId="0">
      <sharedItems count="12">
        <s v="2월"/>
        <s v="6월"/>
        <s v="9월"/>
        <s v="11월"/>
        <s v="12월"/>
        <s v="1월"/>
        <s v="3월"/>
        <s v="4월"/>
        <s v="5월"/>
        <s v="7월"/>
        <s v="8월"/>
        <s v="10월"/>
      </sharedItems>
    </cacheField>
    <cacheField name="적   요   란" numFmtId="0">
      <sharedItems/>
    </cacheField>
    <cacheField name="코드" numFmtId="0">
      <sharedItems containsBlank="1"/>
    </cacheField>
    <cacheField name="거래처명" numFmtId="0">
      <sharedItems containsBlank="1"/>
    </cacheField>
    <cacheField name="사업자등록번호" numFmtId="0">
      <sharedItems containsBlank="1"/>
    </cacheField>
    <cacheField name="차    변" numFmtId="0">
      <sharedItems containsString="0" containsBlank="1" containsNumber="1" containsInteger="1" minValue="-6096348" maxValue="41985950"/>
    </cacheField>
    <cacheField name="대    변" numFmtId="0">
      <sharedItems containsString="0" containsBlank="1" containsNumber="1" containsInteger="1" minValue="1006911" maxValue="1006911"/>
    </cacheField>
    <cacheField name="잔    액" numFmtId="0">
      <sharedItems containsString="0" containsBlank="1" containsNumber="1" containsInteger="1" minValue="-1802790" maxValue="3012038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9">
  <r>
    <x v="0"/>
    <s v="2011/02/01"/>
    <x v="0"/>
    <s v="2011년 사업계획 팀장 워크샵시 식대외"/>
    <m/>
    <s v="가나한식보쌈"/>
    <m/>
    <n v="35000"/>
    <m/>
    <m/>
  </r>
  <r>
    <x v="0"/>
    <s v="2011/02/01"/>
    <x v="0"/>
    <s v="2011년 사업계획 팀장 워크샵시 식대외"/>
    <m/>
    <s v="아리스타홍대7호점"/>
    <m/>
    <n v="12200"/>
    <m/>
    <m/>
  </r>
  <r>
    <x v="0"/>
    <s v="2011/02/01"/>
    <x v="0"/>
    <s v="2011년 사업계획 팀장 워크샵시 식대외"/>
    <m/>
    <s v="대우하나마트"/>
    <m/>
    <n v="27230"/>
    <m/>
    <n v="74430"/>
  </r>
  <r>
    <x v="0"/>
    <s v="2011/02/08"/>
    <x v="0"/>
    <s v="사무총장 이취임식 회의비"/>
    <m/>
    <s v="일파스토레"/>
    <m/>
    <n v="50200"/>
    <m/>
    <n v="124630"/>
  </r>
  <r>
    <x v="0"/>
    <s v="2011/02/24"/>
    <x v="0"/>
    <s v="2011년 1차 정기이사회 회의시 식대"/>
    <m/>
    <s v="경복궁서교점"/>
    <m/>
    <n v="247500"/>
    <m/>
    <m/>
  </r>
  <r>
    <x v="0"/>
    <s v="2011/02/24"/>
    <x v="0"/>
    <s v="재단 이사회관련비용 정산의 건"/>
    <m/>
    <s v="대우하나마트"/>
    <m/>
    <n v="10000"/>
    <m/>
    <n v="382130"/>
  </r>
  <r>
    <x v="0"/>
    <s v="2011/06/21"/>
    <x v="1"/>
    <s v="재단 운영위경비 정산의 건"/>
    <m/>
    <s v="카페자스"/>
    <m/>
    <n v="51800"/>
    <m/>
    <m/>
  </r>
  <r>
    <x v="0"/>
    <s v="2011/06/21"/>
    <x v="1"/>
    <s v="재단 운영위경비 정산의 건"/>
    <m/>
    <s v="대우하나로마트"/>
    <m/>
    <n v="11900"/>
    <m/>
    <m/>
  </r>
  <r>
    <x v="0"/>
    <s v="2011/06/21"/>
    <x v="1"/>
    <s v="재단 운영위경비 정산의 건"/>
    <m/>
    <s v="청기와주차장"/>
    <m/>
    <n v="10000"/>
    <m/>
    <n v="455830"/>
  </r>
  <r>
    <x v="0"/>
    <s v="2011/06/30"/>
    <x v="1"/>
    <s v="2011년 제2차 정기이사회 회의시 식대 및 음료"/>
    <m/>
    <s v="대우하나마트"/>
    <m/>
    <n v="20000"/>
    <m/>
    <m/>
  </r>
  <r>
    <x v="0"/>
    <s v="2011/06/30"/>
    <x v="1"/>
    <s v="2011년 제2차 정기이사회 회의시 식대 및 음료"/>
    <m/>
    <s v="아웃백스테이크하우스코리아"/>
    <m/>
    <n v="279950"/>
    <m/>
    <n v="755780"/>
  </r>
  <r>
    <x v="0"/>
    <s v="2011/09/22"/>
    <x v="2"/>
    <s v="재단 운영위회의 경비 지출의 건"/>
    <m/>
    <s v="카페자스"/>
    <m/>
    <n v="44400"/>
    <m/>
    <m/>
  </r>
  <r>
    <x v="0"/>
    <s v="2011/09/22"/>
    <x v="2"/>
    <s v="재단 운영위회의 경비 지출의 건"/>
    <m/>
    <s v="대우하나마트"/>
    <m/>
    <n v="30860"/>
    <m/>
    <n v="831040"/>
  </r>
  <r>
    <x v="0"/>
    <s v="2011/11/04"/>
    <x v="3"/>
    <s v="운영위원회 회의비 지출의 건"/>
    <m/>
    <s v="아웃백"/>
    <m/>
    <n v="141570"/>
    <m/>
    <n v="972610"/>
  </r>
  <r>
    <x v="0"/>
    <s v="2011/11/09"/>
    <x v="3"/>
    <s v="이사회 회의비 지출의 건"/>
    <m/>
    <s v="경복궁"/>
    <m/>
    <n v="302500"/>
    <m/>
    <n v="1275110"/>
  </r>
  <r>
    <x v="0"/>
    <s v="2011/11/17"/>
    <x v="3"/>
    <s v="2011년 제3차 정기이사회 회의시 식대 지출의 건"/>
    <m/>
    <s v="(주)달개비"/>
    <m/>
    <n v="338800"/>
    <m/>
    <m/>
  </r>
  <r>
    <x v="0"/>
    <s v="2011/11/17"/>
    <x v="3"/>
    <s v="2011년 제3차 정기이사회 회의시 식대 지출의 건"/>
    <m/>
    <s v="리치몬드과자점"/>
    <m/>
    <n v="25800"/>
    <m/>
    <n v="1639710"/>
  </r>
  <r>
    <x v="0"/>
    <s v="2011/12/30"/>
    <x v="4"/>
    <s v="다문화가정 출산지원사업 심사평가운영비 잔액 이체"/>
    <m/>
    <m/>
    <m/>
    <n v="-700"/>
    <m/>
    <n v="1639010"/>
  </r>
  <r>
    <x v="1"/>
    <s v="2011/01/18"/>
    <x v="5"/>
    <s v="실습생 기관방문비용 지출의 건"/>
    <m/>
    <s v="패밀리마트 종로재동점"/>
    <m/>
    <n v="12000"/>
    <m/>
    <n v="12000"/>
  </r>
  <r>
    <x v="1"/>
    <s v="2011/01/19"/>
    <x v="5"/>
    <s v="직원 및 봉사자 식대 정산의 건"/>
    <m/>
    <s v="도미노피자"/>
    <m/>
    <n v="70970"/>
    <m/>
    <m/>
  </r>
  <r>
    <x v="1"/>
    <s v="2011/01/19"/>
    <x v="5"/>
    <s v="직원 및 봉사자 식대 정산의 건"/>
    <m/>
    <s v="아리스타"/>
    <m/>
    <n v="11800"/>
    <m/>
    <m/>
  </r>
  <r>
    <x v="1"/>
    <s v="2011/01/19"/>
    <x v="5"/>
    <s v="직원 및 봉사자 식대 정산의 건"/>
    <m/>
    <s v="문서방칡냉면"/>
    <m/>
    <n v="6000"/>
    <m/>
    <n v="100770"/>
  </r>
  <r>
    <x v="1"/>
    <s v="2011/01/21"/>
    <x v="5"/>
    <s v="이사장 업무추진비 지출의 건"/>
    <m/>
    <s v="(주)달인디아"/>
    <m/>
    <n v="166100"/>
    <m/>
    <n v="266870"/>
  </r>
  <r>
    <x v="1"/>
    <s v="2011/01/26"/>
    <x v="5"/>
    <s v="실습생 기관방문비용 지출의 건"/>
    <m/>
    <s v="미니스톱"/>
    <m/>
    <n v="12000"/>
    <m/>
    <n v="278870"/>
  </r>
  <r>
    <x v="1"/>
    <s v="2011/01/27"/>
    <x v="5"/>
    <s v="기획홍보팀 업무추진비 지출의 건"/>
    <s v="10448"/>
    <s v="아이"/>
    <m/>
    <n v="45500"/>
    <m/>
    <n v="324370"/>
  </r>
  <r>
    <x v="1"/>
    <s v="2011/01/31"/>
    <x v="5"/>
    <s v="이사장 업무추진비 지출의 건"/>
    <m/>
    <s v="플로라"/>
    <m/>
    <n v="73040"/>
    <m/>
    <m/>
  </r>
  <r>
    <x v="1"/>
    <s v="2011/01/31"/>
    <x v="5"/>
    <s v="외부회계감사 진행비 지출의 건"/>
    <m/>
    <s v="경복궁 서교점"/>
    <m/>
    <n v="110000"/>
    <m/>
    <m/>
  </r>
  <r>
    <x v="1"/>
    <s v="2011/01/31"/>
    <x v="5"/>
    <s v="외부회계감사 진행비 지출의 건"/>
    <s v="10311"/>
    <s v="아리스타(홍대7호점)"/>
    <s v="105-14-83128"/>
    <n v="7800"/>
    <m/>
    <m/>
  </r>
  <r>
    <x v="1"/>
    <s v="2011/01/31"/>
    <x v="5"/>
    <s v="외부회계감사 진행비 지출의 건"/>
    <m/>
    <s v="서교 파리바게뜨"/>
    <m/>
    <n v="12100"/>
    <m/>
    <m/>
  </r>
  <r>
    <x v="1"/>
    <s v="2011/01/31"/>
    <x v="5"/>
    <s v="외부회계감사 진행비 지출의 건"/>
    <m/>
    <s v="로"/>
    <m/>
    <n v="35000"/>
    <m/>
    <m/>
  </r>
  <r>
    <x v="1"/>
    <s v="2011/01/31"/>
    <x v="5"/>
    <s v="실습종결평가 진행비 지출의 건"/>
    <m/>
    <s v="엔팀홍대점"/>
    <m/>
    <n v="79000"/>
    <m/>
    <n v="641310"/>
  </r>
  <r>
    <x v="1"/>
    <s v="2011/02/08"/>
    <x v="0"/>
    <s v="사무총장 업무추진비 지출의 건"/>
    <s v="10311"/>
    <s v="아리스타(홍대7호점)"/>
    <s v="105-14-83128"/>
    <n v="13700"/>
    <m/>
    <m/>
  </r>
  <r>
    <x v="1"/>
    <s v="2011/02/08"/>
    <x v="0"/>
    <s v="사무총장 업무추진비 지출의 건"/>
    <s v="10311"/>
    <s v="아리스타(홍대7호점)"/>
    <s v="105-14-83128"/>
    <n v="7100"/>
    <m/>
    <m/>
  </r>
  <r>
    <x v="1"/>
    <s v="2011/02/08"/>
    <x v="0"/>
    <s v="사무총장 업무추진비 지출의 건"/>
    <m/>
    <s v="서울신문사"/>
    <m/>
    <n v="15000"/>
    <m/>
    <m/>
  </r>
  <r>
    <x v="1"/>
    <s v="2011/02/08"/>
    <x v="0"/>
    <s v="사무총장 업무추진비 지출의 건"/>
    <s v="10311"/>
    <s v="아리스타(홍대7호점)"/>
    <s v="105-14-83128"/>
    <n v="18000"/>
    <m/>
    <m/>
  </r>
  <r>
    <x v="1"/>
    <s v="2011/02/08"/>
    <x v="0"/>
    <s v="사무총장 업무추진비 지출의 건"/>
    <m/>
    <s v="스타벅스광화문점"/>
    <m/>
    <n v="3600"/>
    <m/>
    <m/>
  </r>
  <r>
    <x v="1"/>
    <s v="2011/02/08"/>
    <x v="0"/>
    <s v="사무총장 업무추진비 지출의 건"/>
    <m/>
    <s v="롯데리아"/>
    <m/>
    <n v="4000"/>
    <m/>
    <m/>
  </r>
  <r>
    <x v="1"/>
    <s v="2011/02/08"/>
    <x v="0"/>
    <s v="사무총장 업무추진비 지출의 건"/>
    <m/>
    <s v="오두막"/>
    <m/>
    <n v="41000"/>
    <m/>
    <m/>
  </r>
  <r>
    <x v="1"/>
    <s v="2011/02/08"/>
    <x v="0"/>
    <s v="사무총장 업무추진비 지출의 건"/>
    <m/>
    <s v="신세계이마트은평점"/>
    <m/>
    <n v="10400"/>
    <m/>
    <m/>
  </r>
  <r>
    <x v="1"/>
    <s v="2011/02/08"/>
    <x v="0"/>
    <s v="사무총장 업무추진비 지출의 건"/>
    <m/>
    <s v="강경희"/>
    <m/>
    <n v="11000"/>
    <m/>
    <n v="765110"/>
  </r>
  <r>
    <x v="1"/>
    <s v="2011/02/09"/>
    <x v="0"/>
    <s v="내부회계감사 경비정산의 건"/>
    <m/>
    <s v="상하이짬뽕"/>
    <m/>
    <n v="24000"/>
    <m/>
    <m/>
  </r>
  <r>
    <x v="1"/>
    <s v="2011/02/09"/>
    <x v="0"/>
    <s v="내부회계감사 경비정산의 건"/>
    <m/>
    <s v="신세계택시"/>
    <m/>
    <n v="4600"/>
    <m/>
    <m/>
  </r>
  <r>
    <x v="1"/>
    <s v="2011/02/09"/>
    <x v="0"/>
    <s v="내부회계감사 경비정산의 건"/>
    <m/>
    <s v="원일교통"/>
    <m/>
    <n v="3800"/>
    <m/>
    <m/>
  </r>
  <r>
    <x v="1"/>
    <s v="2011/02/09"/>
    <x v="0"/>
    <s v="내부회계감사 경비정산의 건"/>
    <m/>
    <s v="삼성육운"/>
    <m/>
    <n v="8300"/>
    <m/>
    <m/>
  </r>
  <r>
    <x v="1"/>
    <s v="2011/02/09"/>
    <x v="0"/>
    <s v="내부회계감사 경비정산의 건"/>
    <m/>
    <s v="번영교통"/>
    <m/>
    <n v="4200"/>
    <m/>
    <m/>
  </r>
  <r>
    <x v="1"/>
    <s v="2011/02/09"/>
    <x v="0"/>
    <s v="직원석식 정산의 건"/>
    <m/>
    <s v="비비큐"/>
    <m/>
    <n v="22000"/>
    <m/>
    <n v="832010"/>
  </r>
  <r>
    <x v="1"/>
    <s v="2011/02/15"/>
    <x v="0"/>
    <s v="축하화환비 정산의 건"/>
    <m/>
    <s v="플로라"/>
    <m/>
    <n v="100000"/>
    <m/>
    <n v="932010"/>
  </r>
  <r>
    <x v="1"/>
    <s v="2011/02/16"/>
    <x v="0"/>
    <s v="이사장 업무추진비 지출의 건"/>
    <m/>
    <s v="마포대도식당"/>
    <m/>
    <n v="74000"/>
    <m/>
    <n v="1006010"/>
  </r>
  <r>
    <x v="1"/>
    <s v="2011/02/18"/>
    <x v="0"/>
    <s v="총무팀 회의비 지출의 건"/>
    <m/>
    <s v="돈까스진"/>
    <m/>
    <n v="16000"/>
    <m/>
    <m/>
  </r>
  <r>
    <x v="1"/>
    <s v="2011/02/18"/>
    <x v="0"/>
    <s v="총무팀 회의비 지출의 건"/>
    <m/>
    <s v="서기운수(주)"/>
    <m/>
    <n v="2400"/>
    <m/>
    <m/>
  </r>
  <r>
    <x v="1"/>
    <s v="2011/02/18"/>
    <x v="0"/>
    <s v="총무팀 회의비 지출의 건"/>
    <m/>
    <s v="벼레별씨"/>
    <m/>
    <n v="11000"/>
    <m/>
    <n v="1035410"/>
  </r>
  <r>
    <x v="1"/>
    <s v="2011/02/21"/>
    <x v="0"/>
    <s v="이사장 업무추진비 지출의 건"/>
    <m/>
    <s v="(주)롯데리아보네스뻬브레"/>
    <m/>
    <n v="7300"/>
    <m/>
    <n v="1042710"/>
  </r>
  <r>
    <x v="1"/>
    <s v="2011/02/28"/>
    <x v="0"/>
    <s v="사무총장 업무추진비 지출의 건"/>
    <m/>
    <s v="(주)이니시스"/>
    <m/>
    <n v="30000"/>
    <m/>
    <m/>
  </r>
  <r>
    <x v="1"/>
    <s v="2011/02/28"/>
    <x v="0"/>
    <s v="사무총장 업무추진비 지출의 건"/>
    <m/>
    <s v="외신기자클럽"/>
    <m/>
    <n v="8800"/>
    <m/>
    <m/>
  </r>
  <r>
    <x v="1"/>
    <s v="2011/02/28"/>
    <x v="0"/>
    <s v="사무총장 업무추진비 지출의 건"/>
    <m/>
    <s v="더옐로우"/>
    <m/>
    <n v="20000"/>
    <m/>
    <m/>
  </r>
  <r>
    <x v="1"/>
    <s v="2011/02/28"/>
    <x v="0"/>
    <s v="사무총장 업무추진비 지출의 건"/>
    <m/>
    <s v="선유도"/>
    <m/>
    <n v="63000"/>
    <m/>
    <m/>
  </r>
  <r>
    <x v="1"/>
    <s v="2011/02/28"/>
    <x v="0"/>
    <s v="사무총장 업무추진비 지출의 건"/>
    <m/>
    <s v="글룩"/>
    <m/>
    <n v="129000"/>
    <m/>
    <m/>
  </r>
  <r>
    <x v="1"/>
    <s v="2011/02/28"/>
    <x v="0"/>
    <s v="이사장 업무추진비 지출의 건"/>
    <m/>
    <s v="경복궁 서교점"/>
    <m/>
    <n v="105600"/>
    <m/>
    <n v="1399110"/>
  </r>
  <r>
    <x v="1"/>
    <s v="2011/03/09"/>
    <x v="6"/>
    <s v="이사장 업무추진비 지출의 건"/>
    <m/>
    <s v="리치몬드제과"/>
    <m/>
    <n v="28500"/>
    <m/>
    <m/>
  </r>
  <r>
    <x v="1"/>
    <s v="2011/03/09"/>
    <x v="6"/>
    <s v="이사장 업무추진비 지출의 건"/>
    <m/>
    <s v="(주)서울신문사"/>
    <m/>
    <n v="27000"/>
    <m/>
    <n v="1454610"/>
  </r>
  <r>
    <x v="1"/>
    <s v="2011/03/14"/>
    <x v="6"/>
    <s v="사무총장 업무추진비 지출의 건"/>
    <m/>
    <s v="마포대도식당"/>
    <m/>
    <n v="19000"/>
    <m/>
    <m/>
  </r>
  <r>
    <x v="1"/>
    <s v="2011/03/14"/>
    <x v="6"/>
    <s v="사무총장 업무추진비 지출의 건"/>
    <m/>
    <s v="Hong chef"/>
    <m/>
    <n v="13500"/>
    <m/>
    <n v="1487110"/>
  </r>
  <r>
    <x v="1"/>
    <s v="2011/03/17"/>
    <x v="6"/>
    <s v="사무총장 업무추진비 지출의 건"/>
    <m/>
    <s v="하이트비어뱅"/>
    <m/>
    <n v="134500"/>
    <m/>
    <n v="1621610"/>
  </r>
  <r>
    <x v="1"/>
    <s v="2011/03/22"/>
    <x v="6"/>
    <s v="사무총장 업무추진비 지출의 건"/>
    <m/>
    <s v="섬소년"/>
    <m/>
    <n v="120000"/>
    <m/>
    <m/>
  </r>
  <r>
    <x v="1"/>
    <s v="2011/03/22"/>
    <x v="6"/>
    <s v="사무총장 업무추진비 지출의 건"/>
    <m/>
    <s v="씨앤케이로스터리"/>
    <m/>
    <n v="7000"/>
    <m/>
    <m/>
  </r>
  <r>
    <x v="1"/>
    <s v="2011/03/22"/>
    <x v="6"/>
    <s v="총무팀 업무추진비 지출의 건"/>
    <m/>
    <s v="보노보노 홍대점"/>
    <m/>
    <n v="80100"/>
    <m/>
    <n v="1828710"/>
  </r>
  <r>
    <x v="1"/>
    <s v="2011/03/23"/>
    <x v="6"/>
    <s v="이사장 업무추진비 지출의 건"/>
    <m/>
    <s v="경복궁 서교점"/>
    <m/>
    <n v="52800"/>
    <m/>
    <n v="1881510"/>
  </r>
  <r>
    <x v="1"/>
    <s v="2011/03/28"/>
    <x v="6"/>
    <s v="이사장 업무추진비 지출의 건"/>
    <m/>
    <s v="달개비"/>
    <m/>
    <n v="249700"/>
    <m/>
    <n v="2131210"/>
  </r>
  <r>
    <x v="1"/>
    <s v="2011/04/04"/>
    <x v="7"/>
    <s v="총무팀 신입직원(인턴) 입사에 따른 중식비 지출의 건"/>
    <m/>
    <s v="경복궁 서교점(주)덕용푸드시스템"/>
    <m/>
    <n v="66000"/>
    <m/>
    <n v="2197210"/>
  </r>
  <r>
    <x v="1"/>
    <s v="2011/04/06"/>
    <x v="7"/>
    <s v="2010년 태평양복지재단 시설개보수사업 배분경비"/>
    <m/>
    <s v="태평양복지재단"/>
    <m/>
    <n v="-4000000"/>
    <m/>
    <n v="-1802790"/>
  </r>
  <r>
    <x v="1"/>
    <s v="2011/04/08"/>
    <x v="7"/>
    <s v="여명희씨와 기홍팀 오리엔테이션"/>
    <m/>
    <s v="돌꽃"/>
    <m/>
    <n v="62000"/>
    <m/>
    <m/>
  </r>
  <r>
    <x v="1"/>
    <s v="2011/04/08"/>
    <x v="7"/>
    <s v="여명희씨와 기홍팀 오리엔테이션"/>
    <m/>
    <s v="카페자스"/>
    <m/>
    <n v="14600"/>
    <m/>
    <n v="-1726190"/>
  </r>
  <r>
    <x v="1"/>
    <s v="2011/04/12"/>
    <x v="7"/>
    <s v="이사장 업무추진비의 건"/>
    <m/>
    <s v="(주)달개비"/>
    <m/>
    <n v="264000"/>
    <m/>
    <n v="-1462190"/>
  </r>
  <r>
    <x v="1"/>
    <s v="2011/04/14"/>
    <x v="7"/>
    <s v="사무총장 업무추진비 지출의 건"/>
    <m/>
    <s v="글룩"/>
    <m/>
    <n v="55000"/>
    <m/>
    <n v="-1407190"/>
  </r>
  <r>
    <x v="1"/>
    <s v="2011/04/21"/>
    <x v="7"/>
    <s v="이사장 업무추진비 지출의 건"/>
    <m/>
    <s v="더 스테이지"/>
    <m/>
    <n v="40700"/>
    <m/>
    <n v="-1366490"/>
  </r>
  <r>
    <x v="1"/>
    <s v="2011/04/22"/>
    <x v="7"/>
    <s v="사무총장 업무추진의 건"/>
    <m/>
    <s v="맛죽"/>
    <m/>
    <n v="30000"/>
    <m/>
    <n v="-1336490"/>
  </r>
  <r>
    <x v="1"/>
    <s v="2011/04/27"/>
    <x v="7"/>
    <s v="이사장 업무추진비 지출의 건"/>
    <m/>
    <s v="까페자스"/>
    <m/>
    <n v="102500"/>
    <m/>
    <n v="-1233990"/>
  </r>
  <r>
    <x v="1"/>
    <s v="2011/05/04"/>
    <x v="8"/>
    <s v="이사장 업무추진비 지출의 건"/>
    <m/>
    <s v="돌꽃"/>
    <m/>
    <n v="23000"/>
    <m/>
    <n v="-1210990"/>
  </r>
  <r>
    <x v="1"/>
    <s v="2011/05/11"/>
    <x v="8"/>
    <s v="발대식 관련 기홍팀 식사 지출 건"/>
    <m/>
    <s v="불난고기집"/>
    <m/>
    <n v="91000"/>
    <m/>
    <m/>
  </r>
  <r>
    <x v="1"/>
    <s v="2011/05/11"/>
    <x v="8"/>
    <s v="발대식 관련 기홍팀 식사 지출 건"/>
    <m/>
    <s v="웃으러"/>
    <m/>
    <n v="55000"/>
    <m/>
    <m/>
  </r>
  <r>
    <x v="1"/>
    <s v="2011/05/11"/>
    <x v="8"/>
    <s v="사무총장 업무추진비 지출의 건"/>
    <m/>
    <s v="성미산밥상"/>
    <m/>
    <n v="24000"/>
    <m/>
    <m/>
  </r>
  <r>
    <x v="1"/>
    <s v="2011/05/11"/>
    <x v="8"/>
    <s v="사무총장 업무추진비 지출의 건"/>
    <m/>
    <s v="개인택시"/>
    <m/>
    <n v="2400"/>
    <m/>
    <m/>
  </r>
  <r>
    <x v="1"/>
    <s v="2011/05/11"/>
    <x v="8"/>
    <s v="사무총장 업무추진비 지출의 건"/>
    <m/>
    <s v="명화운수(주)"/>
    <m/>
    <n v="2400"/>
    <m/>
    <n v="-1036190"/>
  </r>
  <r>
    <x v="1"/>
    <s v="2011/05/13"/>
    <x v="8"/>
    <s v="총무팀 업무추진비 지출의 건"/>
    <m/>
    <s v="빕스 홍대점"/>
    <m/>
    <n v="121170"/>
    <m/>
    <n v="-915020"/>
  </r>
  <r>
    <x v="1"/>
    <s v="2011/05/17"/>
    <x v="8"/>
    <s v="이사장 업무추진비 지출의 건"/>
    <m/>
    <s v="수련원스카이라운지"/>
    <m/>
    <n v="112000"/>
    <m/>
    <m/>
  </r>
  <r>
    <x v="1"/>
    <s v="2011/05/17"/>
    <x v="8"/>
    <s v="이사장 업무추진비 지출의 건"/>
    <m/>
    <s v="(주)달개비"/>
    <m/>
    <n v="88000"/>
    <m/>
    <n v="-715020"/>
  </r>
  <r>
    <x v="1"/>
    <s v="2011/05/26"/>
    <x v="8"/>
    <s v="사무총장 업무추진비 및 교통비 지출의 건"/>
    <m/>
    <s v="홍쉐프 서교점"/>
    <m/>
    <n v="7000"/>
    <m/>
    <m/>
  </r>
  <r>
    <x v="1"/>
    <s v="2011/05/26"/>
    <x v="8"/>
    <s v="사무총장 업무추진비 및 교통비 지출의 건"/>
    <m/>
    <s v="포메인"/>
    <m/>
    <n v="80500"/>
    <m/>
    <m/>
  </r>
  <r>
    <x v="1"/>
    <s v="2011/05/26"/>
    <x v="8"/>
    <s v="사무총장 업무추진비 및 교통비 지출의 건"/>
    <m/>
    <s v="(주)보나비아티제청계광장점"/>
    <m/>
    <n v="4300"/>
    <m/>
    <m/>
  </r>
  <r>
    <x v="1"/>
    <s v="2011/05/26"/>
    <x v="8"/>
    <s v="사무총장 업무추진비 및 교통비 지출의 건"/>
    <m/>
    <s v="경복궁서교점(주)"/>
    <m/>
    <n v="118800"/>
    <m/>
    <n v="-504420"/>
  </r>
  <r>
    <x v="1"/>
    <s v="2011/05/30"/>
    <x v="8"/>
    <s v="사무총장 업무추진비 지출의 건"/>
    <m/>
    <s v="아웃백스테이크하우스"/>
    <m/>
    <n v="54351"/>
    <m/>
    <n v="-450069"/>
  </r>
  <r>
    <x v="1"/>
    <s v="2011/05/31"/>
    <x v="8"/>
    <s v="이사장 업무추진비 지출의 건"/>
    <m/>
    <s v="돌꽃"/>
    <m/>
    <n v="110000"/>
    <m/>
    <n v="-340069"/>
  </r>
  <r>
    <x v="1"/>
    <s v="2011/06/02"/>
    <x v="1"/>
    <s v="사무총장 업무추진비 및 교통비 지출의 건"/>
    <m/>
    <s v="돌꽃"/>
    <m/>
    <n v="72000"/>
    <m/>
    <m/>
  </r>
  <r>
    <x v="1"/>
    <s v="2011/06/02"/>
    <x v="1"/>
    <s v="사무총장 업무추진비 및 교통비 지출의 건"/>
    <m/>
    <s v="로"/>
    <m/>
    <n v="50000"/>
    <m/>
    <n v="-218069"/>
  </r>
  <r>
    <x v="1"/>
    <s v="2011/06/08"/>
    <x v="1"/>
    <s v="이사장 업무추진비 지출의 건"/>
    <m/>
    <s v="경복궁 서교점"/>
    <m/>
    <n v="52800"/>
    <m/>
    <n v="-165269"/>
  </r>
  <r>
    <x v="1"/>
    <s v="2011/06/13"/>
    <x v="1"/>
    <s v="사무총장 업무추진비 지출의 건"/>
    <m/>
    <s v="고려대정문정산소"/>
    <m/>
    <n v="30000"/>
    <m/>
    <n v="-135269"/>
  </r>
  <r>
    <x v="1"/>
    <s v="2011/06/21"/>
    <x v="1"/>
    <s v="한국여성단체협의회 창립기념식 티켓 구입의 건"/>
    <m/>
    <s v="한국여성단체협의회"/>
    <m/>
    <n v="150000"/>
    <m/>
    <n v="14731"/>
  </r>
  <r>
    <x v="1"/>
    <s v="2011/06/28"/>
    <x v="1"/>
    <s v="이사장 업무추진비 지출의 건"/>
    <m/>
    <s v="까페자스"/>
    <m/>
    <n v="47300"/>
    <m/>
    <m/>
  </r>
  <r>
    <x v="1"/>
    <s v="2011/06/28"/>
    <x v="1"/>
    <s v="한국여성단체연합 후원티켓 구입의 건"/>
    <m/>
    <s v="한국여성단체연합"/>
    <m/>
    <n v="100000"/>
    <m/>
    <n v="162031"/>
  </r>
  <r>
    <x v="1"/>
    <s v="2011/07/04"/>
    <x v="9"/>
    <s v="사무총장 업무추진비 및 교통비 지출의 건"/>
    <m/>
    <s v="카페베네 동교중앙점"/>
    <m/>
    <n v="11100"/>
    <m/>
    <m/>
  </r>
  <r>
    <x v="1"/>
    <s v="2011/07/04"/>
    <x v="9"/>
    <s v="사무총장 업무추진비 및 교통비 지출의 건"/>
    <m/>
    <s v="김북순큰남비(학동역점)"/>
    <m/>
    <n v="12500"/>
    <m/>
    <m/>
  </r>
  <r>
    <x v="1"/>
    <s v="2011/07/04"/>
    <x v="9"/>
    <s v="사무총장 업무추진비 및 교통비 지출의 건"/>
    <m/>
    <s v="카페베네 신촌로점"/>
    <m/>
    <n v="8000"/>
    <m/>
    <n v="193631"/>
  </r>
  <r>
    <x v="1"/>
    <s v="2011/07/07"/>
    <x v="9"/>
    <s v="사무총장 업무추진의 건"/>
    <m/>
    <s v="해바라기마트"/>
    <m/>
    <n v="57600"/>
    <m/>
    <n v="251231"/>
  </r>
  <r>
    <x v="1"/>
    <s v="2011/07/11"/>
    <x v="9"/>
    <s v="사무총장 업무추진비 지출의 건"/>
    <m/>
    <s v="개인택시"/>
    <m/>
    <n v="3300"/>
    <m/>
    <m/>
  </r>
  <r>
    <x v="1"/>
    <s v="2011/07/11"/>
    <x v="9"/>
    <s v="사무총장 업무추진비 지출의 건"/>
    <m/>
    <s v="스마일택시(주)"/>
    <m/>
    <n v="7500"/>
    <m/>
    <m/>
  </r>
  <r>
    <x v="1"/>
    <s v="2011/07/11"/>
    <x v="9"/>
    <s v="사무총장 업무추진비 지출의 건"/>
    <m/>
    <s v="삼신운수(주)"/>
    <m/>
    <n v="6500"/>
    <m/>
    <m/>
  </r>
  <r>
    <x v="1"/>
    <s v="2011/07/11"/>
    <x v="9"/>
    <s v="사무총장 업무추진비 지출의 건"/>
    <m/>
    <s v="개인택시"/>
    <m/>
    <n v="11600"/>
    <m/>
    <m/>
  </r>
  <r>
    <x v="1"/>
    <s v="2011/07/11"/>
    <x v="9"/>
    <s v="사무총장 업무추진비 지출의 건"/>
    <m/>
    <s v="개인택시"/>
    <m/>
    <n v="5700"/>
    <m/>
    <n v="285831"/>
  </r>
  <r>
    <x v="1"/>
    <s v="2011/07/14"/>
    <x v="9"/>
    <s v="이사장 업무추진비 지출의 건"/>
    <m/>
    <s v="돌꽃"/>
    <m/>
    <n v="199000"/>
    <m/>
    <n v="484831"/>
  </r>
  <r>
    <x v="1"/>
    <s v="2011/07/18"/>
    <x v="9"/>
    <s v="실습생 기관방문비용 지출의 건"/>
    <m/>
    <s v="GS25천왕역점"/>
    <m/>
    <n v="11050"/>
    <m/>
    <m/>
  </r>
  <r>
    <x v="1"/>
    <s v="2011/07/18"/>
    <x v="9"/>
    <s v="기획홍보팀 상반기 평가회의 진행비"/>
    <m/>
    <s v="카페자스"/>
    <m/>
    <n v="18100"/>
    <m/>
    <m/>
  </r>
  <r>
    <x v="1"/>
    <s v="2011/07/18"/>
    <x v="9"/>
    <s v="기획홍보팀 상반기 평가회의 진행비"/>
    <m/>
    <s v="카페베네"/>
    <m/>
    <n v="18200"/>
    <m/>
    <m/>
  </r>
  <r>
    <x v="1"/>
    <s v="2011/07/18"/>
    <x v="9"/>
    <s v="기획홍보팀 상반기 평가회의 진행비"/>
    <m/>
    <s v="카페자스"/>
    <m/>
    <n v="39900"/>
    <m/>
    <n v="572081"/>
  </r>
  <r>
    <x v="1"/>
    <s v="2011/07/19"/>
    <x v="9"/>
    <s v="사무총장 업무추진비 지출의 건"/>
    <m/>
    <s v="개인택시"/>
    <m/>
    <n v="7300"/>
    <m/>
    <n v="579381"/>
  </r>
  <r>
    <x v="1"/>
    <s v="2011/07/22"/>
    <x v="9"/>
    <s v="실습 최종과제발표 진행비 지출의 건"/>
    <m/>
    <s v="카페자스"/>
    <m/>
    <n v="38700"/>
    <m/>
    <m/>
  </r>
  <r>
    <x v="1"/>
    <s v="2011/07/22"/>
    <x v="9"/>
    <s v="이사장 업무추진비 지출의 건"/>
    <m/>
    <s v="달개비"/>
    <m/>
    <n v="137500"/>
    <m/>
    <n v="755581"/>
  </r>
  <r>
    <x v="1"/>
    <s v="2011/07/26"/>
    <x v="9"/>
    <s v="이사장 업무추진비 지출의 건"/>
    <m/>
    <s v="포베이"/>
    <m/>
    <n v="32500"/>
    <m/>
    <n v="788081"/>
  </r>
  <r>
    <x v="1"/>
    <s v="2011/07/29"/>
    <x v="9"/>
    <s v="이사장 업무추진비 지출의 건"/>
    <m/>
    <s v="일파스토레"/>
    <m/>
    <n v="67500"/>
    <m/>
    <n v="855581"/>
  </r>
  <r>
    <x v="1"/>
    <s v="2011/08/19"/>
    <x v="10"/>
    <s v="사무총장 업무추진비 지출의 건"/>
    <m/>
    <s v="맛죽"/>
    <m/>
    <n v="42000"/>
    <m/>
    <m/>
  </r>
  <r>
    <x v="1"/>
    <s v="2011/08/19"/>
    <x v="10"/>
    <s v="이사장 업무추진비 지출의 건"/>
    <m/>
    <s v="연세주유소"/>
    <m/>
    <n v="50000"/>
    <m/>
    <n v="947581"/>
  </r>
  <r>
    <x v="1"/>
    <s v="2011/08/26"/>
    <x v="10"/>
    <s v="사무총장 업무추진비 지출의 건"/>
    <m/>
    <s v="조양흥진"/>
    <m/>
    <n v="7500"/>
    <m/>
    <m/>
  </r>
  <r>
    <x v="1"/>
    <s v="2011/08/26"/>
    <x v="10"/>
    <s v="사무총장 업무추진비 지출의 건"/>
    <m/>
    <s v="개인택시"/>
    <m/>
    <n v="4200"/>
    <m/>
    <m/>
  </r>
  <r>
    <x v="1"/>
    <s v="2011/08/26"/>
    <x v="10"/>
    <s v="사무총장 업무추진비 지출의 건"/>
    <m/>
    <s v="삼기통산(주)"/>
    <m/>
    <n v="7900"/>
    <m/>
    <m/>
  </r>
  <r>
    <x v="1"/>
    <s v="2011/08/26"/>
    <x v="10"/>
    <s v="사무총장 업무추진비 지출의 건"/>
    <m/>
    <s v="개인택시"/>
    <m/>
    <n v="11000"/>
    <m/>
    <m/>
  </r>
  <r>
    <x v="1"/>
    <s v="2011/08/26"/>
    <x v="10"/>
    <s v="사무총장 업무추진비 지출의 건"/>
    <m/>
    <s v="덕왕기업"/>
    <m/>
    <n v="6900"/>
    <m/>
    <m/>
  </r>
  <r>
    <x v="1"/>
    <s v="2011/08/26"/>
    <x v="10"/>
    <s v="사무총장 업무추진비 지출의 건"/>
    <m/>
    <s v="개인택시"/>
    <m/>
    <n v="4500"/>
    <m/>
    <m/>
  </r>
  <r>
    <x v="1"/>
    <s v="2011/08/26"/>
    <x v="10"/>
    <s v="사무총장 업무추진비 지출의 건"/>
    <m/>
    <s v="개인택시"/>
    <m/>
    <n v="6100"/>
    <m/>
    <m/>
  </r>
  <r>
    <x v="1"/>
    <s v="2011/08/26"/>
    <x v="10"/>
    <s v="사무총장 업무추진비 지출의 건"/>
    <m/>
    <s v="개인택시"/>
    <m/>
    <n v="15500"/>
    <m/>
    <m/>
  </r>
  <r>
    <x v="1"/>
    <s v="2011/08/26"/>
    <x v="10"/>
    <s v="사무총장 업무추진비 지출의 건"/>
    <m/>
    <s v="개인택시"/>
    <m/>
    <n v="12000"/>
    <m/>
    <m/>
  </r>
  <r>
    <x v="1"/>
    <s v="2011/08/26"/>
    <x v="10"/>
    <s v="사무총장 업무추진비 지출의 건"/>
    <m/>
    <s v="개인택시"/>
    <m/>
    <n v="16400"/>
    <m/>
    <m/>
  </r>
  <r>
    <x v="1"/>
    <s v="2011/08/26"/>
    <x v="10"/>
    <s v="사무총장 업무추진비 지출의 건"/>
    <m/>
    <s v="까페베네동교중앙점"/>
    <m/>
    <n v="8600"/>
    <m/>
    <m/>
  </r>
  <r>
    <x v="1"/>
    <s v="2011/08/26"/>
    <x v="10"/>
    <s v="사무총장 업무추진비 지출의 건"/>
    <m/>
    <s v="마포대도식당"/>
    <m/>
    <n v="38000"/>
    <m/>
    <m/>
  </r>
  <r>
    <x v="1"/>
    <s v="2011/08/26"/>
    <x v="10"/>
    <s v="사무총장 업무추진비 지출의 건"/>
    <m/>
    <s v="까페자스"/>
    <m/>
    <n v="2500"/>
    <m/>
    <m/>
  </r>
  <r>
    <x v="1"/>
    <s v="2011/08/26"/>
    <x v="10"/>
    <s v="사무총장 업무추진비 지출의 건"/>
    <m/>
    <s v="까페자스"/>
    <m/>
    <n v="12800"/>
    <m/>
    <m/>
  </r>
  <r>
    <x v="1"/>
    <s v="2011/08/26"/>
    <x v="10"/>
    <s v="사무총장 업무추진비 지출의 건"/>
    <m/>
    <s v="옛날손짜장"/>
    <m/>
    <n v="45000"/>
    <m/>
    <n v="1146481"/>
  </r>
  <r>
    <x v="1"/>
    <s v="2011/09/05"/>
    <x v="2"/>
    <s v="이사장 업무추진비 지출의 건"/>
    <m/>
    <s v="SEOUL ROYAL HOTEL"/>
    <m/>
    <n v="23100"/>
    <m/>
    <n v="1169581"/>
  </r>
  <r>
    <x v="1"/>
    <s v="2011/09/07"/>
    <x v="2"/>
    <s v="이사장 업무추진비 지출의 건"/>
    <m/>
    <s v="(주)달개비"/>
    <m/>
    <n v="98000"/>
    <m/>
    <n v="1267581"/>
  </r>
  <r>
    <x v="1"/>
    <s v="2011/09/08"/>
    <x v="2"/>
    <s v="인천 여성의 전화 방문시 지출의 건"/>
    <m/>
    <s v="동양식품"/>
    <m/>
    <n v="10000"/>
    <m/>
    <m/>
  </r>
  <r>
    <x v="1"/>
    <s v="2011/09/08"/>
    <x v="2"/>
    <s v="인천 여성의 전화 방문시 지출의 건"/>
    <m/>
    <s v="무종리토종순대국"/>
    <m/>
    <n v="13000"/>
    <m/>
    <m/>
  </r>
  <r>
    <x v="1"/>
    <s v="2011/09/08"/>
    <x v="2"/>
    <s v="인천 여성의 전화 방문시 지출의 건"/>
    <m/>
    <s v="카페별"/>
    <m/>
    <n v="8800"/>
    <m/>
    <m/>
  </r>
  <r>
    <x v="1"/>
    <s v="2011/09/08"/>
    <x v="2"/>
    <s v="총무팀 업무추진비 지출의 건"/>
    <m/>
    <s v="더부페마포점"/>
    <m/>
    <n v="79200"/>
    <m/>
    <m/>
  </r>
  <r>
    <x v="1"/>
    <s v="2011/09/08"/>
    <x v="2"/>
    <s v="총무팀 업무추진비 지출의 건"/>
    <m/>
    <s v="(주)리에"/>
    <m/>
    <n v="14300"/>
    <m/>
    <n v="1392881"/>
  </r>
  <r>
    <x v="1"/>
    <s v="2011/09/14"/>
    <x v="2"/>
    <s v="팀장 모임시 간식비 지출의 건"/>
    <m/>
    <s v="카페자스"/>
    <m/>
    <n v="18200"/>
    <m/>
    <m/>
  </r>
  <r>
    <x v="1"/>
    <s v="2011/09/14"/>
    <x v="2"/>
    <s v="기획홍보팀 회식 지출의 건"/>
    <m/>
    <s v="유끼노하나"/>
    <m/>
    <n v="48000"/>
    <m/>
    <n v="1459081"/>
  </r>
  <r>
    <x v="1"/>
    <s v="2011/09/15"/>
    <x v="2"/>
    <s v="사무총장 업무추진비 지출의 건"/>
    <m/>
    <s v="영성각"/>
    <m/>
    <n v="57000"/>
    <m/>
    <n v="1516081"/>
  </r>
  <r>
    <x v="1"/>
    <s v="2011/09/19"/>
    <x v="2"/>
    <s v="사무총장 업무추진비 지출의 건"/>
    <m/>
    <s v="피아포"/>
    <m/>
    <n v="42500"/>
    <m/>
    <n v="1558581"/>
  </r>
  <r>
    <x v="1"/>
    <s v="2011/09/22"/>
    <x v="2"/>
    <s v="문상관련 사무총장 방문교통비 지출의 건"/>
    <m/>
    <s v="철도승차권"/>
    <m/>
    <n v="35200"/>
    <m/>
    <m/>
  </r>
  <r>
    <x v="1"/>
    <s v="2011/09/22"/>
    <x v="2"/>
    <s v="문상관련 사무총장 방문교통비 지출의 건"/>
    <m/>
    <s v="아시아나항공"/>
    <m/>
    <n v="72100"/>
    <m/>
    <m/>
  </r>
  <r>
    <x v="1"/>
    <s v="2011/09/22"/>
    <x v="2"/>
    <s v="이사장 업무추진비 지출의 건"/>
    <m/>
    <s v="카페자스"/>
    <m/>
    <n v="10500"/>
    <m/>
    <n v="1676381"/>
  </r>
  <r>
    <x v="1"/>
    <s v="2011/09/29"/>
    <x v="2"/>
    <s v="사무총장 업무추진비 지출의 건"/>
    <m/>
    <s v="카페베네"/>
    <m/>
    <n v="5500"/>
    <m/>
    <n v="1681881"/>
  </r>
  <r>
    <x v="1"/>
    <s v="2011/10/10"/>
    <x v="11"/>
    <s v="사무총장 교통비 지출의 건"/>
    <m/>
    <s v="교통비내부영수증"/>
    <m/>
    <n v="17100"/>
    <m/>
    <m/>
  </r>
  <r>
    <x v="1"/>
    <s v="2011/10/10"/>
    <x v="11"/>
    <s v="총무팀 업무추진비 지출의 건"/>
    <m/>
    <s v="피아포"/>
    <m/>
    <n v="40500"/>
    <m/>
    <m/>
  </r>
  <r>
    <x v="1"/>
    <s v="2011/10/10"/>
    <x v="11"/>
    <s v="총무팀 업무추진비 지출의 건"/>
    <m/>
    <s v="세븐시즌"/>
    <m/>
    <n v="10800"/>
    <m/>
    <n v="1750281"/>
  </r>
  <r>
    <x v="1"/>
    <s v="2011/10/11"/>
    <x v="11"/>
    <s v="업무회계 감사 방문시 지출의 건"/>
    <m/>
    <s v="나래꽃방"/>
    <m/>
    <n v="12000"/>
    <m/>
    <m/>
  </r>
  <r>
    <x v="1"/>
    <s v="2011/10/11"/>
    <x v="11"/>
    <s v="업무회계 감사 방문시 지출의 건"/>
    <m/>
    <s v="빚은교대역점"/>
    <m/>
    <n v="10000"/>
    <m/>
    <n v="1772281"/>
  </r>
  <r>
    <x v="1"/>
    <s v="2011/10/14"/>
    <x v="11"/>
    <s v="사무총장 업무추진비 지출의 건"/>
    <m/>
    <s v="청기와예식홀"/>
    <m/>
    <n v="10000"/>
    <m/>
    <n v="1782281"/>
  </r>
  <r>
    <x v="1"/>
    <s v="2011/10/17"/>
    <x v="11"/>
    <s v="중복출금에 따른 이체(사무총장 업무추진-7/27일자 사무총장카드사용한 마포대도식당)"/>
    <m/>
    <m/>
    <m/>
    <n v="-38000"/>
    <m/>
    <n v="1744281"/>
  </r>
  <r>
    <x v="1"/>
    <s v="2011/10/18"/>
    <x v="11"/>
    <s v="사무총장 업무추진비 지출의 건"/>
    <m/>
    <s v="(주)호석교통"/>
    <m/>
    <n v="5700"/>
    <m/>
    <m/>
  </r>
  <r>
    <x v="1"/>
    <s v="2011/10/18"/>
    <x v="11"/>
    <s v="사무총장 업무추진비 지출의 건"/>
    <m/>
    <s v="대성교통(주)"/>
    <m/>
    <n v="7200"/>
    <m/>
    <m/>
  </r>
  <r>
    <x v="1"/>
    <s v="2011/10/18"/>
    <x v="11"/>
    <s v="사무총장 업무추진비 지출의 건"/>
    <m/>
    <s v="개인택시"/>
    <m/>
    <n v="5900"/>
    <m/>
    <m/>
  </r>
  <r>
    <x v="1"/>
    <s v="2011/10/18"/>
    <x v="11"/>
    <s v="사무총장 업무추진비 지출의 건"/>
    <m/>
    <s v="개인택시"/>
    <m/>
    <n v="5100"/>
    <m/>
    <m/>
  </r>
  <r>
    <x v="1"/>
    <s v="2011/10/18"/>
    <x v="11"/>
    <s v="사무총장 업무추진비 지출의 건"/>
    <m/>
    <s v="작은숲"/>
    <m/>
    <n v="22000"/>
    <m/>
    <m/>
  </r>
  <r>
    <x v="1"/>
    <s v="2011/10/18"/>
    <x v="11"/>
    <s v="사무총장 업무추진비 지출의 건"/>
    <m/>
    <s v="광일통운"/>
    <m/>
    <n v="6600"/>
    <m/>
    <m/>
  </r>
  <r>
    <x v="1"/>
    <s v="2011/10/18"/>
    <x v="11"/>
    <s v="사무총장 업무추진비 지출의 건"/>
    <m/>
    <s v="대성교통(주)"/>
    <m/>
    <n v="5400"/>
    <m/>
    <m/>
  </r>
  <r>
    <x v="1"/>
    <s v="2011/10/18"/>
    <x v="11"/>
    <s v="사무총장 업무추진비 지출의 건"/>
    <m/>
    <s v="개인택시"/>
    <m/>
    <n v="6200"/>
    <m/>
    <n v="1808381"/>
  </r>
  <r>
    <x v="1"/>
    <s v="2011/10/31"/>
    <x v="11"/>
    <s v="이사장 업무추진비 지출의 건"/>
    <m/>
    <s v="대현유통문막상주유소"/>
    <m/>
    <n v="40000"/>
    <m/>
    <n v="1848381"/>
  </r>
  <r>
    <x v="1"/>
    <s v="2011/11/01"/>
    <x v="3"/>
    <s v="사무총장 업무추진비 지출의 건"/>
    <m/>
    <s v="한국도로공사"/>
    <m/>
    <n v="6100"/>
    <m/>
    <n v="1854481"/>
  </r>
  <r>
    <x v="1"/>
    <s v="2011/11/02"/>
    <x v="3"/>
    <s v="총무팀 업무추진비 지출의 건"/>
    <m/>
    <s v="세븐시즌"/>
    <m/>
    <n v="8000"/>
    <m/>
    <n v="1862481"/>
  </r>
  <r>
    <x v="1"/>
    <s v="2011/11/03"/>
    <x v="3"/>
    <s v="사무총장 업무추진비 지출의 건"/>
    <m/>
    <s v="유천칡냉면서마포점"/>
    <m/>
    <n v="22000"/>
    <m/>
    <m/>
  </r>
  <r>
    <x v="1"/>
    <s v="2011/11/03"/>
    <x v="3"/>
    <s v="사무총장 업무추진비 지출의 건"/>
    <m/>
    <s v="T-money택시"/>
    <m/>
    <n v="9100"/>
    <m/>
    <m/>
  </r>
  <r>
    <x v="1"/>
    <s v="2011/11/03"/>
    <x v="3"/>
    <s v="사무총장 업무추진비 지출의 건"/>
    <m/>
    <s v="개인택시"/>
    <m/>
    <n v="6700"/>
    <m/>
    <m/>
  </r>
  <r>
    <x v="1"/>
    <s v="2011/11/03"/>
    <x v="3"/>
    <s v="사무총장 업무추진비 지출의 건"/>
    <m/>
    <s v="개인택시"/>
    <m/>
    <n v="5700"/>
    <m/>
    <m/>
  </r>
  <r>
    <x v="1"/>
    <s v="2011/11/03"/>
    <x v="3"/>
    <s v="사무총장 업무추진비 지출의 건"/>
    <m/>
    <s v="개인택시"/>
    <m/>
    <n v="4900"/>
    <m/>
    <m/>
  </r>
  <r>
    <x v="1"/>
    <s v="2011/11/03"/>
    <x v="3"/>
    <s v="사무총장 업무추진비 지출의 건"/>
    <m/>
    <s v="개인택시"/>
    <m/>
    <n v="5100"/>
    <m/>
    <m/>
  </r>
  <r>
    <x v="1"/>
    <s v="2011/11/03"/>
    <x v="3"/>
    <s v="사무총장 업무추진비 지출의 건"/>
    <m/>
    <s v="신영산업운수(주)"/>
    <m/>
    <n v="7200"/>
    <m/>
    <m/>
  </r>
  <r>
    <x v="1"/>
    <s v="2011/11/03"/>
    <x v="3"/>
    <s v="사무총장 업무추진비 지출의 건"/>
    <m/>
    <s v="개인택시"/>
    <m/>
    <n v="12400"/>
    <m/>
    <m/>
  </r>
  <r>
    <x v="1"/>
    <s v="2011/11/03"/>
    <x v="3"/>
    <s v="사무총장 업무추진비 지출의 건"/>
    <m/>
    <s v="교동전선생"/>
    <m/>
    <n v="43000"/>
    <m/>
    <m/>
  </r>
  <r>
    <x v="1"/>
    <s v="2011/11/03"/>
    <x v="3"/>
    <s v="사무총장 업무추진비 지출의 건"/>
    <m/>
    <s v="개인택시"/>
    <m/>
    <n v="9500"/>
    <m/>
    <m/>
  </r>
  <r>
    <x v="1"/>
    <s v="2011/11/03"/>
    <x v="3"/>
    <s v="사무총장 업무추진비 지출의 건"/>
    <m/>
    <s v="개인택시"/>
    <m/>
    <n v="17200"/>
    <m/>
    <m/>
  </r>
  <r>
    <x v="1"/>
    <s v="2011/11/03"/>
    <x v="3"/>
    <s v="사무총장 업무추진비 지출의 건"/>
    <m/>
    <s v="평창한우마당"/>
    <m/>
    <n v="26000"/>
    <m/>
    <m/>
  </r>
  <r>
    <x v="1"/>
    <s v="2011/11/03"/>
    <x v="3"/>
    <s v="사무총장 업무추진비 지출의 건"/>
    <m/>
    <s v="카페자스"/>
    <m/>
    <n v="6500"/>
    <m/>
    <n v="2037781"/>
  </r>
  <r>
    <x v="1"/>
    <s v="2011/11/15"/>
    <x v="3"/>
    <s v="사무총장 업무추진비 지출의 건"/>
    <m/>
    <s v="개인택시"/>
    <m/>
    <n v="14800"/>
    <m/>
    <m/>
  </r>
  <r>
    <x v="1"/>
    <s v="2011/11/15"/>
    <x v="3"/>
    <s v="사무총장 업무추진비 지출의 건"/>
    <m/>
    <s v="개인택시"/>
    <m/>
    <n v="6700"/>
    <m/>
    <m/>
  </r>
  <r>
    <x v="1"/>
    <s v="2011/11/15"/>
    <x v="3"/>
    <s v="사무총장 업무추진비 지출의 건"/>
    <m/>
    <s v="개인택시"/>
    <m/>
    <n v="4100"/>
    <m/>
    <m/>
  </r>
  <r>
    <x v="1"/>
    <s v="2011/11/15"/>
    <x v="3"/>
    <s v="사무총장 업무추진비 지출의 건"/>
    <m/>
    <s v="명화운수(주)"/>
    <m/>
    <n v="4300"/>
    <m/>
    <m/>
  </r>
  <r>
    <x v="1"/>
    <s v="2011/11/15"/>
    <x v="3"/>
    <s v="사무총장 업무추진비 지출의 건"/>
    <m/>
    <s v="미니스톱서교2점"/>
    <m/>
    <n v="4550"/>
    <m/>
    <m/>
  </r>
  <r>
    <x v="1"/>
    <s v="2011/11/15"/>
    <x v="3"/>
    <s v="사무총장 업무추진비 지출의 건"/>
    <m/>
    <s v="섬소년"/>
    <m/>
    <n v="65000"/>
    <m/>
    <m/>
  </r>
  <r>
    <x v="1"/>
    <s v="2011/11/15"/>
    <x v="3"/>
    <s v="사무총장 업무추진비 지출의 건"/>
    <m/>
    <s v="카페베네 동교중앙점"/>
    <m/>
    <n v="7600"/>
    <m/>
    <m/>
  </r>
  <r>
    <x v="1"/>
    <s v="2011/11/15"/>
    <x v="3"/>
    <s v="사무총장 업무추진비 지출의 건"/>
    <m/>
    <s v="카페자스"/>
    <m/>
    <n v="9300"/>
    <m/>
    <m/>
  </r>
  <r>
    <x v="1"/>
    <s v="2011/11/15"/>
    <x v="3"/>
    <s v="사무총장 업무추진비 지출의 건"/>
    <m/>
    <s v="섬소년"/>
    <m/>
    <n v="12000"/>
    <m/>
    <n v="2166131"/>
  </r>
  <r>
    <x v="1"/>
    <s v="2011/11/17"/>
    <x v="3"/>
    <s v="중복출금에 따른 이체(사무총장 업무추진-9/18일자 사무총장카드사용한 유천칡냉면)"/>
    <m/>
    <m/>
    <m/>
    <n v="-22000"/>
    <m/>
    <n v="2144131"/>
  </r>
  <r>
    <x v="1"/>
    <s v="2011/11/21"/>
    <x v="3"/>
    <s v="사무총장 업무추진비 지출의 건"/>
    <m/>
    <s v="명화운수(주)"/>
    <m/>
    <n v="4900"/>
    <m/>
    <m/>
  </r>
  <r>
    <x v="1"/>
    <s v="2011/11/21"/>
    <x v="3"/>
    <s v="사무총장 업무추진비 지출의 건"/>
    <m/>
    <s v="남창흥업(주)"/>
    <m/>
    <n v="4900"/>
    <m/>
    <m/>
  </r>
  <r>
    <x v="1"/>
    <s v="2011/11/21"/>
    <x v="3"/>
    <s v="사무총장 업무추진비 지출의 건"/>
    <m/>
    <s v="카페라리시촌점"/>
    <m/>
    <n v="29500"/>
    <m/>
    <m/>
  </r>
  <r>
    <x v="1"/>
    <s v="2011/11/21"/>
    <x v="3"/>
    <s v="사무총장 업무추진비 지출의 건"/>
    <m/>
    <s v="개인택시"/>
    <m/>
    <n v="15300"/>
    <m/>
    <m/>
  </r>
  <r>
    <x v="1"/>
    <s v="2011/11/21"/>
    <x v="3"/>
    <s v="사무총장 업무추진비 지출의 건"/>
    <m/>
    <s v="교동전선생"/>
    <m/>
    <n v="32000"/>
    <m/>
    <m/>
  </r>
  <r>
    <x v="1"/>
    <s v="2011/11/21"/>
    <x v="3"/>
    <s v="사무총장 업무추진비 지출의 건"/>
    <m/>
    <s v="카페베네"/>
    <m/>
    <n v="8100"/>
    <m/>
    <n v="2238831"/>
  </r>
  <r>
    <x v="1"/>
    <s v="2011/11/30"/>
    <x v="3"/>
    <s v="이사장 업무추진비 지출의 건"/>
    <m/>
    <s v="더소호"/>
    <m/>
    <n v="66000"/>
    <m/>
    <m/>
  </r>
  <r>
    <x v="1"/>
    <s v="2011/11/30"/>
    <x v="3"/>
    <s v="사무총장 업무추진비 지출의 건"/>
    <m/>
    <s v="아웃백스테이크하우스코리아"/>
    <m/>
    <n v="47080"/>
    <m/>
    <m/>
  </r>
  <r>
    <x v="1"/>
    <s v="2011/11/30"/>
    <x v="3"/>
    <s v="사무총장 업무추진비 지출의 건"/>
    <m/>
    <s v="개인택시"/>
    <m/>
    <n v="6200"/>
    <m/>
    <m/>
  </r>
  <r>
    <x v="1"/>
    <s v="2011/11/30"/>
    <x v="3"/>
    <s v="사무총장 업무추진비 지출의 건"/>
    <m/>
    <s v="개인택시"/>
    <m/>
    <n v="6100"/>
    <m/>
    <m/>
  </r>
  <r>
    <x v="1"/>
    <s v="2011/11/30"/>
    <x v="3"/>
    <s v="사무총장 업무추진비 지출의 건"/>
    <m/>
    <s v="대진흥업"/>
    <m/>
    <n v="6400"/>
    <m/>
    <m/>
  </r>
  <r>
    <x v="1"/>
    <s v="2011/11/30"/>
    <x v="3"/>
    <s v="사무총장 업무추진비 지출의 건"/>
    <m/>
    <s v="개인택시"/>
    <m/>
    <n v="6400"/>
    <m/>
    <m/>
  </r>
  <r>
    <x v="1"/>
    <s v="2011/11/30"/>
    <x v="3"/>
    <s v="사무총장 업무추진비 지출의 건"/>
    <m/>
    <s v="명성교통"/>
    <m/>
    <n v="13800"/>
    <m/>
    <m/>
  </r>
  <r>
    <x v="1"/>
    <s v="2011/11/30"/>
    <x v="3"/>
    <s v="사무총장 업무추진비 지출의 건"/>
    <m/>
    <s v="개인택시"/>
    <m/>
    <n v="6000"/>
    <m/>
    <m/>
  </r>
  <r>
    <x v="1"/>
    <s v="2011/11/30"/>
    <x v="3"/>
    <s v="사무총장 업무추진비 지출의 건"/>
    <m/>
    <s v="파리크라상"/>
    <m/>
    <n v="16000"/>
    <m/>
    <m/>
  </r>
  <r>
    <x v="1"/>
    <s v="2011/11/30"/>
    <x v="3"/>
    <s v="사무총장 업무추진비 지출의 건"/>
    <m/>
    <s v="코레일유통"/>
    <m/>
    <n v="5700"/>
    <m/>
    <m/>
  </r>
  <r>
    <x v="1"/>
    <s v="2011/11/30"/>
    <x v="3"/>
    <s v="사무총장 업무추진비 지출의 건"/>
    <m/>
    <s v="개인택시"/>
    <m/>
    <n v="26500"/>
    <m/>
    <m/>
  </r>
  <r>
    <x v="1"/>
    <s v="2011/11/30"/>
    <x v="3"/>
    <s v="사무총장 업무추진비 지출의 건"/>
    <m/>
    <s v="에어부산"/>
    <m/>
    <n v="80100"/>
    <m/>
    <m/>
  </r>
  <r>
    <x v="1"/>
    <s v="2011/11/30"/>
    <x v="3"/>
    <s v="사무총장 업무추진비 지출의 건"/>
    <m/>
    <s v="코레일"/>
    <m/>
    <n v="77700"/>
    <m/>
    <m/>
  </r>
  <r>
    <x v="1"/>
    <s v="2011/11/30"/>
    <x v="3"/>
    <s v="사무총장 업무추진비 지출의 건"/>
    <m/>
    <s v="개인택시(한병수)"/>
    <m/>
    <n v="7700"/>
    <m/>
    <m/>
  </r>
  <r>
    <x v="1"/>
    <s v="2011/11/30"/>
    <x v="3"/>
    <s v="사무총장 업무추진비 지출의 건"/>
    <m/>
    <s v="시루마루"/>
    <m/>
    <n v="3000"/>
    <m/>
    <m/>
  </r>
  <r>
    <x v="1"/>
    <s v="2011/11/30"/>
    <x v="3"/>
    <s v="사무총장 업무추진비 지출의 건"/>
    <m/>
    <s v="코리아세븐"/>
    <m/>
    <n v="2700"/>
    <m/>
    <m/>
  </r>
  <r>
    <x v="1"/>
    <s v="2011/11/30"/>
    <x v="3"/>
    <s v="사무총장 업무추진비 지출의 건"/>
    <m/>
    <s v="코레일유통"/>
    <m/>
    <n v="5700"/>
    <m/>
    <n v="2621911"/>
  </r>
  <r>
    <x v="1"/>
    <s v="2011/12/02"/>
    <x v="4"/>
    <s v="배분경비 운영비계좌로 이체-두리홈"/>
    <m/>
    <m/>
    <m/>
    <n v="-1990000"/>
    <m/>
    <n v="631911"/>
  </r>
  <r>
    <x v="1"/>
    <s v="2011/12/07"/>
    <x v="4"/>
    <s v="팀장회의시 식대 및 음료 지출의 건"/>
    <m/>
    <s v="섬소년"/>
    <m/>
    <n v="66000"/>
    <m/>
    <m/>
  </r>
  <r>
    <x v="1"/>
    <s v="2011/12/07"/>
    <x v="4"/>
    <s v="팀장회의시 식대 및 음료 지출의 건"/>
    <m/>
    <s v="카페자스"/>
    <m/>
    <n v="5900"/>
    <m/>
    <m/>
  </r>
  <r>
    <x v="1"/>
    <s v="2011/12/07"/>
    <x v="4"/>
    <s v="팀장회의시 식대 및 음료 지출의 건"/>
    <m/>
    <s v="카페자스"/>
    <m/>
    <n v="12000"/>
    <m/>
    <n v="715811"/>
  </r>
  <r>
    <x v="1"/>
    <s v="2011/12/12"/>
    <x v="4"/>
    <s v="사무총장 업무추진비 지출의 건"/>
    <m/>
    <s v="개인택시"/>
    <m/>
    <n v="8300"/>
    <m/>
    <m/>
  </r>
  <r>
    <x v="1"/>
    <s v="2011/12/12"/>
    <x v="4"/>
    <s v="사무총장 업무추진비 지출의 건"/>
    <m/>
    <s v="경성자동차교동(주)"/>
    <m/>
    <n v="7900"/>
    <m/>
    <m/>
  </r>
  <r>
    <x v="1"/>
    <s v="2011/12/12"/>
    <x v="4"/>
    <s v="사무총장 업무추진비 지출의 건"/>
    <m/>
    <s v="파리바게뜨"/>
    <m/>
    <n v="23000"/>
    <m/>
    <m/>
  </r>
  <r>
    <x v="1"/>
    <s v="2011/12/12"/>
    <x v="4"/>
    <s v="사무총장 업무추진비 지출의 건"/>
    <m/>
    <s v="맛죽"/>
    <m/>
    <n v="26000"/>
    <m/>
    <n v="781011"/>
  </r>
  <r>
    <x v="1"/>
    <s v="2011/12/14"/>
    <x v="4"/>
    <s v="사무총장 업무추진비 지출의 건"/>
    <m/>
    <s v="개인택시"/>
    <m/>
    <n v="16800"/>
    <m/>
    <m/>
  </r>
  <r>
    <x v="1"/>
    <s v="2011/12/14"/>
    <x v="4"/>
    <s v="사무총장 업무추진비 지출의 건"/>
    <m/>
    <s v="개인택시"/>
    <m/>
    <n v="5100"/>
    <m/>
    <m/>
  </r>
  <r>
    <x v="1"/>
    <s v="2011/12/14"/>
    <x v="4"/>
    <s v="사무총장 업무추진비 지출의 건"/>
    <m/>
    <s v="원일교통(주)"/>
    <m/>
    <n v="8000"/>
    <m/>
    <n v="810911"/>
  </r>
  <r>
    <x v="1"/>
    <s v="2011/12/16"/>
    <x v="4"/>
    <s v="이사장 업무추진비 지출의 건"/>
    <m/>
    <s v="오요리"/>
    <m/>
    <n v="58000"/>
    <m/>
    <n v="868911"/>
  </r>
  <r>
    <x v="1"/>
    <s v="2011/12/19"/>
    <x v="4"/>
    <s v="사무총장 업무추진비 지출의 건"/>
    <m/>
    <s v="맛죽"/>
    <m/>
    <n v="13000"/>
    <m/>
    <m/>
  </r>
  <r>
    <x v="1"/>
    <s v="2011/12/19"/>
    <x v="4"/>
    <s v="사무총장 업무추진비 지출의 건"/>
    <m/>
    <s v="T-money택시"/>
    <m/>
    <n v="8900"/>
    <m/>
    <n v="890811"/>
  </r>
  <r>
    <x v="1"/>
    <s v="2011/12/23"/>
    <x v="4"/>
    <s v="사무총장 업무추진비 지출의 건"/>
    <m/>
    <s v="카페베네 동교중앙점"/>
    <m/>
    <n v="7600"/>
    <m/>
    <m/>
  </r>
  <r>
    <x v="1"/>
    <s v="2011/12/23"/>
    <x v="4"/>
    <s v="사무총장 업무추진비 지출의 건"/>
    <m/>
    <s v="경복궁 서교점"/>
    <m/>
    <n v="37400"/>
    <m/>
    <m/>
  </r>
  <r>
    <x v="1"/>
    <s v="2011/12/23"/>
    <x v="4"/>
    <s v="사무총장 업무추진비 지출의 건"/>
    <m/>
    <s v="개인택시"/>
    <m/>
    <n v="6500"/>
    <m/>
    <m/>
  </r>
  <r>
    <x v="1"/>
    <s v="2011/12/23"/>
    <x v="4"/>
    <s v="사무총장 업무추진비 지출의 건"/>
    <m/>
    <s v="개인택시"/>
    <m/>
    <n v="11200"/>
    <m/>
    <n v="953511"/>
  </r>
  <r>
    <x v="1"/>
    <s v="2011/12/28"/>
    <x v="4"/>
    <s v="사무총장 업무추진비 지출의 건"/>
    <m/>
    <s v="(주)이비카드/경기"/>
    <m/>
    <n v="3000"/>
    <m/>
    <m/>
  </r>
  <r>
    <x v="1"/>
    <s v="2011/12/28"/>
    <x v="4"/>
    <s v="사무총장 업무추진비 지출의 건"/>
    <m/>
    <s v="T-money택시"/>
    <m/>
    <n v="3800"/>
    <m/>
    <m/>
  </r>
  <r>
    <x v="1"/>
    <s v="2011/12/28"/>
    <x v="4"/>
    <s v="사무총장 업무추진비 지출의 건"/>
    <m/>
    <s v="오자네왔는가"/>
    <m/>
    <n v="23000"/>
    <m/>
    <n v="983311"/>
  </r>
  <r>
    <x v="1"/>
    <s v="2011/12/29"/>
    <x v="4"/>
    <s v="사무총장 업무추진비 지출의 건"/>
    <m/>
    <s v="스타벅스코리아"/>
    <m/>
    <n v="7600"/>
    <m/>
    <m/>
  </r>
  <r>
    <x v="1"/>
    <s v="2011/12/29"/>
    <x v="4"/>
    <s v="사무총장 업무추진비 지출의 건"/>
    <m/>
    <s v="개인택시"/>
    <m/>
    <n v="9000"/>
    <m/>
    <m/>
  </r>
  <r>
    <x v="1"/>
    <s v="2011/12/29"/>
    <x v="4"/>
    <s v="사무총장 업무추진비 지출의 건"/>
    <m/>
    <s v="개인택시"/>
    <m/>
    <n v="7000"/>
    <m/>
    <n v="1006911"/>
  </r>
  <r>
    <x v="1"/>
    <s v="2011/12/31"/>
    <x v="4"/>
    <s v="손익대체(비용)"/>
    <m/>
    <m/>
    <m/>
    <m/>
    <n v="1006911"/>
    <m/>
  </r>
  <r>
    <x v="2"/>
    <s v="2011/01/25"/>
    <x v="5"/>
    <s v="2011년 1월 직책보조비 지급 건"/>
    <m/>
    <s v="2011년 1월 직책보조비"/>
    <m/>
    <n v="850000"/>
    <m/>
    <n v="850000"/>
  </r>
  <r>
    <x v="2"/>
    <s v="2011/02/25"/>
    <x v="0"/>
    <s v="2011년 2월 직책보조비 지급 건"/>
    <m/>
    <s v="2011년 2월 직책보조비"/>
    <m/>
    <n v="850000"/>
    <m/>
    <n v="1700000"/>
  </r>
  <r>
    <x v="2"/>
    <s v="2011/03/25"/>
    <x v="6"/>
    <s v="2011년 3월 직책보조비 지급 건"/>
    <m/>
    <s v="2011년 3월 직책보조비"/>
    <m/>
    <n v="850000"/>
    <m/>
    <n v="2550000"/>
  </r>
  <r>
    <x v="2"/>
    <s v="2011/04/25"/>
    <x v="7"/>
    <s v="2011년 4월 직책보조비 지급 건"/>
    <m/>
    <s v="2011년 4월 직책보조비"/>
    <m/>
    <n v="850000"/>
    <m/>
    <n v="3400000"/>
  </r>
  <r>
    <x v="2"/>
    <s v="2011/05/25"/>
    <x v="8"/>
    <s v="2011년 5월 직책보조비 지급 건"/>
    <m/>
    <s v="2011년 5월 직책보조비"/>
    <m/>
    <n v="850000"/>
    <m/>
    <n v="4250000"/>
  </r>
  <r>
    <x v="2"/>
    <s v="2011/06/24"/>
    <x v="1"/>
    <s v="2011년 5월 직책보조비 지급 건"/>
    <m/>
    <s v="2011년 6월 직책보조비"/>
    <m/>
    <n v="850000"/>
    <m/>
    <n v="5100000"/>
  </r>
  <r>
    <x v="2"/>
    <s v="2011/07/25"/>
    <x v="9"/>
    <s v="2011년 7월 직책보조비 지급 건"/>
    <m/>
    <s v="2011년 7월 직책보조비"/>
    <m/>
    <n v="750000"/>
    <m/>
    <n v="5850000"/>
  </r>
  <r>
    <x v="2"/>
    <s v="2011/08/25"/>
    <x v="10"/>
    <s v="2011년 8월 직책보조비 지급 건"/>
    <m/>
    <s v="2011년 8월 직책보조비"/>
    <m/>
    <n v="850000"/>
    <m/>
    <n v="6700000"/>
  </r>
  <r>
    <x v="2"/>
    <s v="2011/09/23"/>
    <x v="2"/>
    <s v="2011년 9월 직책보조비 지급 건"/>
    <m/>
    <s v="2011년 9월 직책보조비"/>
    <m/>
    <n v="850000"/>
    <m/>
    <n v="7550000"/>
  </r>
  <r>
    <x v="2"/>
    <s v="2011/10/25"/>
    <x v="11"/>
    <s v="2011년 10월 직책보조비 지급 건"/>
    <m/>
    <s v="2011년 10월 직책보조비"/>
    <m/>
    <n v="850000"/>
    <m/>
    <n v="8400000"/>
  </r>
  <r>
    <x v="2"/>
    <s v="2011/11/25"/>
    <x v="3"/>
    <s v="2011년 11월 직책보조비 지급 건"/>
    <m/>
    <s v="2011년 11월 직책보조비"/>
    <m/>
    <n v="850000"/>
    <m/>
    <n v="9250000"/>
  </r>
  <r>
    <x v="2"/>
    <s v="2011/12/23"/>
    <x v="4"/>
    <s v="2011년 12월 직책보조비 지급 건"/>
    <m/>
    <s v="2011년 12월 직책보조비"/>
    <m/>
    <n v="850000"/>
    <m/>
    <n v="10100000"/>
  </r>
  <r>
    <x v="3"/>
    <s v="2011/05/26"/>
    <x v="8"/>
    <s v="1. 제목: 2011년 세계여성재단네트워크(INWF) 가입승인에 따른 멤"/>
    <m/>
    <s v="INWF"/>
    <m/>
    <n v="2179560"/>
    <m/>
    <m/>
  </r>
  <r>
    <x v="3"/>
    <s v="2011/05/26"/>
    <x v="8"/>
    <s v="1. 제목: 2011년 세계여성재단네트워크(INWF) 가입승인에 따른 멤"/>
    <m/>
    <s v="농협"/>
    <m/>
    <n v="34774"/>
    <m/>
    <n v="2214334"/>
  </r>
  <r>
    <x v="3"/>
    <s v="2011/09/19"/>
    <x v="2"/>
    <s v="1. 제목: 2011년 세계여성재단네트워크(INWF)아시아지역회의 참가경"/>
    <m/>
    <s v="호성투어"/>
    <m/>
    <n v="1980000"/>
    <m/>
    <n v="4194334"/>
  </r>
  <r>
    <x v="3"/>
    <s v="2011/10/19"/>
    <x v="11"/>
    <s v="1.제목: 세계여성재단네트워크 해외출장 정산"/>
    <m/>
    <s v="한국여성재단 참가비"/>
    <m/>
    <n v="51879"/>
    <m/>
    <m/>
  </r>
  <r>
    <x v="3"/>
    <s v="2011/10/19"/>
    <x v="11"/>
    <s v="1.제목: 세계여성재단네트워크 해외출장 정산"/>
    <m/>
    <s v="Hanoi Grand Hotel"/>
    <m/>
    <n v="33553"/>
    <m/>
    <m/>
  </r>
  <r>
    <x v="3"/>
    <s v="2011/10/19"/>
    <x v="11"/>
    <s v="1.제목: 세계여성재단네트워크 해외출장 정산"/>
    <m/>
    <s v="Hai Hing"/>
    <m/>
    <n v="11339"/>
    <m/>
    <m/>
  </r>
  <r>
    <x v="3"/>
    <s v="2011/10/19"/>
    <x v="11"/>
    <s v="1.제목: 세계여성재단네트워크 해외출장 정산"/>
    <m/>
    <s v="방글라데시대사관"/>
    <m/>
    <n v="36000"/>
    <m/>
    <m/>
  </r>
  <r>
    <x v="3"/>
    <s v="2011/10/19"/>
    <x v="11"/>
    <s v="1.제목: 세계여성재단네트워크 해외출장 정산"/>
    <m/>
    <s v="가야금"/>
    <m/>
    <n v="14850"/>
    <m/>
    <m/>
  </r>
  <r>
    <x v="3"/>
    <s v="2011/10/19"/>
    <x v="11"/>
    <s v="1.제목: 세계여성재단네트워크 해외출장 정산"/>
    <m/>
    <s v="인천에어네트워크"/>
    <m/>
    <n v="10000"/>
    <m/>
    <m/>
  </r>
  <r>
    <x v="3"/>
    <s v="2011/10/19"/>
    <x v="11"/>
    <s v="1.제목: 세계여성재단네트워크 해외출장 정산"/>
    <m/>
    <s v="삼성화재여행자보험"/>
    <m/>
    <n v="12500"/>
    <m/>
    <n v="4364455"/>
  </r>
  <r>
    <x v="4"/>
    <s v="2011/01/19"/>
    <x v="5"/>
    <s v="사무실 화장실 화장지 구입비 정산의 건"/>
    <s v="10209"/>
    <s v="유한지앤에스(주)"/>
    <s v="117-81-44417"/>
    <n v="57200"/>
    <m/>
    <n v="57200"/>
  </r>
  <r>
    <x v="4"/>
    <s v="2011/01/24"/>
    <x v="5"/>
    <s v="생수대금 지출의 건"/>
    <s v="10363"/>
    <s v="샘물공덕"/>
    <s v="105-27-69015"/>
    <n v="24000"/>
    <m/>
    <n v="81200"/>
  </r>
  <r>
    <x v="4"/>
    <s v="2011/01/25"/>
    <x v="5"/>
    <s v="2011년 2월 식대보조비 지급 건"/>
    <m/>
    <s v="2011년 2월 식대보조비"/>
    <m/>
    <n v="1190000"/>
    <m/>
    <n v="1271200"/>
  </r>
  <r>
    <x v="4"/>
    <s v="2011/01/28"/>
    <x v="5"/>
    <s v="2011년 직원 명절(설)선물비 지급의 건"/>
    <m/>
    <s v="설 선물비"/>
    <m/>
    <n v="850000"/>
    <m/>
    <n v="2121200"/>
  </r>
  <r>
    <x v="4"/>
    <s v="2011/02/24"/>
    <x v="0"/>
    <s v="사무총장 송별회 진행비 지출의 건"/>
    <m/>
    <s v="삼국지"/>
    <m/>
    <n v="261000"/>
    <m/>
    <m/>
  </r>
  <r>
    <x v="4"/>
    <s v="2011/02/24"/>
    <x v="0"/>
    <s v="사무총장 송별회 진행비 지출의 건"/>
    <m/>
    <s v="웃으러"/>
    <m/>
    <n v="237400"/>
    <m/>
    <n v="2619600"/>
  </r>
  <r>
    <x v="4"/>
    <s v="2011/02/25"/>
    <x v="0"/>
    <s v="2011년 3월 식대보조비 지급 건"/>
    <m/>
    <s v="2011년 3월 식대보조"/>
    <m/>
    <n v="1050000"/>
    <m/>
    <n v="3669600"/>
  </r>
  <r>
    <x v="4"/>
    <s v="2011/02/28"/>
    <x v="0"/>
    <s v="사무총장 이취임식 점심식대"/>
    <m/>
    <s v="수도시락"/>
    <m/>
    <n v="138000"/>
    <m/>
    <m/>
  </r>
  <r>
    <x v="4"/>
    <s v="2011/02/28"/>
    <x v="0"/>
    <s v="사무총장 이취임식 케잌 구입비"/>
    <m/>
    <s v="뚜레쥬르"/>
    <m/>
    <n v="27000"/>
    <m/>
    <n v="3834600"/>
  </r>
  <r>
    <x v="4"/>
    <s v="2011/03/14"/>
    <x v="6"/>
    <s v="리더쉽교육 간식비 지출의 건"/>
    <m/>
    <s v="대우하나마트"/>
    <m/>
    <n v="36560"/>
    <m/>
    <m/>
  </r>
  <r>
    <x v="4"/>
    <s v="2011/03/14"/>
    <x v="6"/>
    <s v="리더쉽교육 간식비 지출의 건"/>
    <m/>
    <s v="뚜레쥬르"/>
    <m/>
    <n v="9700"/>
    <m/>
    <n v="3880860"/>
  </r>
  <r>
    <x v="4"/>
    <s v="2011/03/25"/>
    <x v="6"/>
    <s v="2011년 4월 식대보조비 지급 건"/>
    <m/>
    <s v="2011년 4월 식대보조"/>
    <m/>
    <n v="1120000"/>
    <m/>
    <n v="5000860"/>
  </r>
  <r>
    <x v="4"/>
    <s v="2011/03/30"/>
    <x v="6"/>
    <s v="교보짧은여행긴호흡 잔액 반납 이전"/>
    <m/>
    <m/>
    <m/>
    <n v="-1153676"/>
    <m/>
    <n v="3847184"/>
  </r>
  <r>
    <x v="4"/>
    <s v="2011/04/06"/>
    <x v="7"/>
    <s v="2010년 태평양복지재산 시설개보수사업 배분경비"/>
    <m/>
    <s v="태평양복지재단"/>
    <m/>
    <n v="-829864"/>
    <m/>
    <n v="3017320"/>
  </r>
  <r>
    <x v="4"/>
    <s v="2011/04/18"/>
    <x v="7"/>
    <s v="재단 비상약품 구입비 지출의 건"/>
    <s v="10362"/>
    <s v="강원약국"/>
    <s v="210-36-42421"/>
    <n v="10500"/>
    <m/>
    <n v="3027820"/>
  </r>
  <r>
    <x v="4"/>
    <s v="2011/04/25"/>
    <x v="7"/>
    <s v="2011년 5월 식대보조비 지급 건"/>
    <m/>
    <s v="2011년 5월 식대보조"/>
    <m/>
    <n v="1120000"/>
    <m/>
    <n v="4147820"/>
  </r>
  <r>
    <x v="4"/>
    <s v="2011/04/27"/>
    <x v="7"/>
    <s v="사무처 직원 간식비 지출의 건"/>
    <m/>
    <s v="까페자스"/>
    <m/>
    <n v="72500"/>
    <m/>
    <n v="4220320"/>
  </r>
  <r>
    <x v="4"/>
    <s v="2011/05/25"/>
    <x v="8"/>
    <s v="2011년 6월 식대보조비 지급 건"/>
    <m/>
    <s v="2011년 6월 식대보조"/>
    <m/>
    <n v="1120000"/>
    <m/>
    <n v="5340320"/>
  </r>
  <r>
    <x v="4"/>
    <s v="2011/06/20"/>
    <x v="1"/>
    <s v="계정대체-2011 미혼모 지정기탁 사업 배분경비 지출에 관한 건"/>
    <m/>
    <s v="미혼모지정기탁"/>
    <m/>
    <n v="-5000000"/>
    <m/>
    <n v="340320"/>
  </r>
  <r>
    <x v="4"/>
    <s v="2011/06/24"/>
    <x v="1"/>
    <s v="2011년 6월 식대보조비 지급 건"/>
    <m/>
    <s v="2011년 7월 식대보조"/>
    <m/>
    <n v="1050000"/>
    <m/>
    <n v="1390320"/>
  </r>
  <r>
    <x v="4"/>
    <s v="2011/06/28"/>
    <x v="1"/>
    <s v="생수대금 지출의 건"/>
    <m/>
    <s v="샘물공덕"/>
    <m/>
    <n v="24000"/>
    <m/>
    <n v="1414320"/>
  </r>
  <r>
    <x v="4"/>
    <s v="2011/06/30"/>
    <x v="1"/>
    <s v="기획홍보팀장(송선민) 송별회 진행비 지출의 건"/>
    <m/>
    <s v="마포대도식당"/>
    <m/>
    <n v="178000"/>
    <m/>
    <m/>
  </r>
  <r>
    <x v="4"/>
    <s v="2011/06/30"/>
    <x v="1"/>
    <s v="기획홍보팀장(송선민) 송별회 진행비 지출의 건"/>
    <m/>
    <s v="카페자스"/>
    <m/>
    <n v="36900"/>
    <m/>
    <m/>
  </r>
  <r>
    <x v="4"/>
    <s v="2011/06/30"/>
    <x v="1"/>
    <s v="기획홍보팀장(송선민) 송별회 진행비 지출의 건"/>
    <m/>
    <s v="카페자스"/>
    <m/>
    <n v="2400"/>
    <m/>
    <n v="1631620"/>
  </r>
  <r>
    <x v="4"/>
    <s v="2011/07/01"/>
    <x v="9"/>
    <s v="복리후생비 지출의 건"/>
    <m/>
    <s v="카페자스"/>
    <m/>
    <n v="21400"/>
    <m/>
    <m/>
  </r>
  <r>
    <x v="4"/>
    <s v="2011/07/01"/>
    <x v="9"/>
    <s v="복리후생비 지출의 건"/>
    <m/>
    <s v="영성각"/>
    <m/>
    <n v="86000"/>
    <m/>
    <m/>
  </r>
  <r>
    <x v="4"/>
    <s v="2011/07/01"/>
    <x v="9"/>
    <s v="복리후생비 지출의 건"/>
    <m/>
    <s v="카페자스"/>
    <m/>
    <n v="19900"/>
    <m/>
    <n v="1758920"/>
  </r>
  <r>
    <x v="4"/>
    <s v="2011/07/25"/>
    <x v="9"/>
    <s v="2011년 8월 식대보조비 지급 건"/>
    <m/>
    <s v="2011년 8월 식대보조"/>
    <m/>
    <n v="1050000"/>
    <m/>
    <n v="2808920"/>
  </r>
  <r>
    <x v="4"/>
    <s v="2011/07/28"/>
    <x v="9"/>
    <s v="생수대금 지출의 건"/>
    <m/>
    <s v="샘물공덕"/>
    <m/>
    <n v="30000"/>
    <m/>
    <n v="2838920"/>
  </r>
  <r>
    <x v="4"/>
    <s v="2011/08/25"/>
    <x v="10"/>
    <s v="2011년 9월 식대보조비 지급 건"/>
    <m/>
    <s v="2011년 9월 식대보조"/>
    <m/>
    <n v="1190000"/>
    <m/>
    <n v="4028920"/>
  </r>
  <r>
    <x v="4"/>
    <s v="2011/09/01"/>
    <x v="2"/>
    <s v="직원복리후생물품 구입의 건"/>
    <m/>
    <s v="코리아세븐"/>
    <m/>
    <n v="7000"/>
    <m/>
    <n v="4035920"/>
  </r>
  <r>
    <x v="4"/>
    <s v="2011/09/06"/>
    <x v="2"/>
    <s v="11보육사업 사업비반환금 관련의 건"/>
    <m/>
    <m/>
    <m/>
    <n v="122820"/>
    <m/>
    <m/>
  </r>
  <r>
    <x v="4"/>
    <s v="2011/09/06"/>
    <x v="2"/>
    <s v="11신생아사업 사업비반환금 관련의 건"/>
    <m/>
    <m/>
    <m/>
    <n v="5000"/>
    <m/>
    <n v="4163740"/>
  </r>
  <r>
    <x v="4"/>
    <s v="2011/09/07"/>
    <x v="2"/>
    <s v="2011년 직원 명절(설)선물비 지급의 건"/>
    <m/>
    <s v="추석 선물비"/>
    <m/>
    <n v="900000"/>
    <m/>
    <n v="5063740"/>
  </r>
  <r>
    <x v="4"/>
    <s v="2011/09/22"/>
    <x v="2"/>
    <s v="재단 직원회식비 지출의 건"/>
    <m/>
    <s v="수도시락"/>
    <m/>
    <n v="117000"/>
    <m/>
    <m/>
  </r>
  <r>
    <x v="4"/>
    <s v="2011/09/22"/>
    <x v="2"/>
    <s v="재단 직원회식비 지출의 건"/>
    <m/>
    <s v="낙원방아간"/>
    <m/>
    <n v="45000"/>
    <m/>
    <m/>
  </r>
  <r>
    <x v="4"/>
    <s v="2011/09/22"/>
    <x v="2"/>
    <s v="재단 직원회식비 지출의 건"/>
    <m/>
    <s v="김밥천국"/>
    <m/>
    <n v="15000"/>
    <m/>
    <m/>
  </r>
  <r>
    <x v="4"/>
    <s v="2011/09/22"/>
    <x v="2"/>
    <s v="재단 직원회식비 지출의 건"/>
    <m/>
    <s v="대우하나마트"/>
    <m/>
    <n v="17800"/>
    <m/>
    <m/>
  </r>
  <r>
    <x v="4"/>
    <s v="2011/09/22"/>
    <x v="2"/>
    <s v="재단 직원회식비 지출의 건"/>
    <m/>
    <s v="카페자스"/>
    <m/>
    <n v="67700"/>
    <m/>
    <m/>
  </r>
  <r>
    <x v="4"/>
    <s v="2011/09/22"/>
    <x v="2"/>
    <s v="재단 복리후생물품 구입관련의 건"/>
    <m/>
    <s v="패밀리홈쇼핑(이베이코리아)"/>
    <m/>
    <n v="168300"/>
    <m/>
    <m/>
  </r>
  <r>
    <x v="4"/>
    <s v="2011/09/22"/>
    <x v="2"/>
    <s v="생수대금 지출의 건"/>
    <m/>
    <s v="샘물공덕"/>
    <m/>
    <n v="30000"/>
    <m/>
    <n v="5524540"/>
  </r>
  <r>
    <x v="4"/>
    <s v="2011/09/23"/>
    <x v="2"/>
    <s v="2011년 10월 식대보조비 지급 건"/>
    <m/>
    <s v="2011년 10월 식대보조"/>
    <m/>
    <n v="1260000"/>
    <m/>
    <n v="6784540"/>
  </r>
  <r>
    <x v="4"/>
    <s v="2011/10/11"/>
    <x v="11"/>
    <s v="생수대금 및 냉온수기 소독비 지출의 건"/>
    <m/>
    <s v="샘물공덕"/>
    <m/>
    <n v="12000"/>
    <m/>
    <m/>
  </r>
  <r>
    <x v="4"/>
    <s v="2011/10/11"/>
    <x v="11"/>
    <s v="생수대금 및 냉온수기 소독비 지출의 건"/>
    <m/>
    <s v="푸름지기"/>
    <m/>
    <n v="13000"/>
    <m/>
    <n v="6809540"/>
  </r>
  <r>
    <x v="4"/>
    <s v="2011/10/25"/>
    <x v="11"/>
    <s v="2011년 11월 식대보조비 지급 건"/>
    <m/>
    <s v="2011년 11월 식대보조"/>
    <m/>
    <n v="1190000"/>
    <m/>
    <n v="7999540"/>
  </r>
  <r>
    <x v="4"/>
    <s v="2011/10/31"/>
    <x v="11"/>
    <s v="생수대금 지출의 건"/>
    <m/>
    <s v="샘물공덕"/>
    <m/>
    <n v="12000"/>
    <m/>
    <n v="8011540"/>
  </r>
  <r>
    <x v="4"/>
    <s v="2011/11/02"/>
    <x v="3"/>
    <s v="재단 화장실화장지 구입비 지출의 건"/>
    <s v="10209"/>
    <s v="유한지앤에스(주)"/>
    <s v="117-81-44417"/>
    <n v="57200"/>
    <m/>
    <m/>
  </r>
  <r>
    <x v="4"/>
    <s v="2011/11/02"/>
    <x v="3"/>
    <s v="풀무원 배분경비 대체"/>
    <m/>
    <m/>
    <m/>
    <n v="-2600000"/>
    <m/>
    <n v="5468740"/>
  </r>
  <r>
    <x v="4"/>
    <s v="2011/11/14"/>
    <x v="3"/>
    <s v="재단물품구입비 지출의 건"/>
    <m/>
    <s v="대우하나마트"/>
    <m/>
    <n v="50780"/>
    <m/>
    <n v="5519520"/>
  </r>
  <r>
    <x v="4"/>
    <s v="2011/11/17"/>
    <x v="3"/>
    <s v="퇴사자(박은희) 11월분 식대 환수(11월14일까지 근무,12일분)"/>
    <m/>
    <m/>
    <m/>
    <n v="-38180"/>
    <m/>
    <n v="5481340"/>
  </r>
  <r>
    <x v="4"/>
    <s v="2011/11/25"/>
    <x v="3"/>
    <s v="2011년 12월 식대보조비 지급 건"/>
    <m/>
    <s v="2011년 12월 식대보조"/>
    <m/>
    <n v="1094550"/>
    <m/>
    <n v="6575890"/>
  </r>
  <r>
    <x v="4"/>
    <s v="2011/11/29"/>
    <x v="3"/>
    <s v="생수대금 지출의 건"/>
    <m/>
    <s v="샘물공덕"/>
    <m/>
    <n v="30000"/>
    <m/>
    <n v="6605890"/>
  </r>
  <r>
    <x v="4"/>
    <s v="2011/12/01"/>
    <x v="4"/>
    <s v="BB희망날개 배분경비 잔액 운영비계좌로 이체"/>
    <m/>
    <m/>
    <m/>
    <n v="-2819520"/>
    <m/>
    <n v="3786370"/>
  </r>
  <r>
    <x v="4"/>
    <s v="2011/12/02"/>
    <x v="4"/>
    <s v="배분경비 운영비계좌로 이체-미혼모긴급지원기금"/>
    <m/>
    <m/>
    <m/>
    <n v="-895589"/>
    <m/>
    <n v="2890781"/>
  </r>
  <r>
    <x v="4"/>
    <s v="2011/12/09"/>
    <x v="4"/>
    <s v="윤금자 선생님 그림 운반시 식대 지출의건"/>
    <m/>
    <s v="마포대도식당"/>
    <m/>
    <n v="34000"/>
    <m/>
    <m/>
  </r>
  <r>
    <x v="4"/>
    <s v="2011/12/09"/>
    <x v="4"/>
    <s v="윤금자 선생님 그림 운반시 식대 지출의건"/>
    <m/>
    <s v="파리바게트 서교"/>
    <m/>
    <n v="5000"/>
    <m/>
    <n v="2929781"/>
  </r>
  <r>
    <x v="4"/>
    <s v="2011/12/23"/>
    <x v="4"/>
    <s v="2011년 연말직원 식대보조비 지급 건"/>
    <m/>
    <s v="2011년 연말 식대보조"/>
    <m/>
    <n v="1003330"/>
    <m/>
    <m/>
  </r>
  <r>
    <x v="4"/>
    <s v="2011/12/23"/>
    <x v="4"/>
    <s v="재단 직원보증보험비 지출의 건"/>
    <m/>
    <s v="서울보증보험"/>
    <m/>
    <n v="121070"/>
    <m/>
    <n v="4054181"/>
  </r>
  <r>
    <x v="4"/>
    <s v="2011/12/28"/>
    <x v="4"/>
    <s v="생수대금 지출의 건"/>
    <m/>
    <s v="샘물공덕"/>
    <m/>
    <n v="18000"/>
    <m/>
    <n v="4072181"/>
  </r>
  <r>
    <x v="4"/>
    <s v="2011/12/30"/>
    <x v="4"/>
    <s v="재단 송년모임시 식대 및 음료 지출의 건"/>
    <m/>
    <s v="글룩"/>
    <m/>
    <n v="200000"/>
    <m/>
    <m/>
  </r>
  <r>
    <x v="4"/>
    <s v="2011/12/30"/>
    <x v="4"/>
    <s v="재단 송년모임시 식대 및 음료 지출의 건"/>
    <m/>
    <s v="마포대도식당"/>
    <m/>
    <n v="219000"/>
    <m/>
    <m/>
  </r>
  <r>
    <x v="4"/>
    <s v="2011/12/30"/>
    <x v="4"/>
    <s v="직원야근식대 지출의 건"/>
    <m/>
    <s v="도미노"/>
    <m/>
    <n v="340"/>
    <m/>
    <n v="4491521"/>
  </r>
  <r>
    <x v="5"/>
    <s v="2011/02/23"/>
    <x v="0"/>
    <s v="더존주관 교육참가(유경미)에 따른비 사업주환급금"/>
    <m/>
    <m/>
    <m/>
    <n v="-79930"/>
    <m/>
    <n v="-79930"/>
  </r>
  <r>
    <x v="5"/>
    <s v="2011/02/25"/>
    <x v="0"/>
    <s v="1.건명:2011년 외부교육 참가(신유미)"/>
    <m/>
    <s v="유영호"/>
    <m/>
    <n v="12000"/>
    <m/>
    <n v="-67930"/>
  </r>
  <r>
    <x v="5"/>
    <s v="2011/02/28"/>
    <x v="0"/>
    <s v="코바코 광고교육원 2011년 제 1차 전문광고과정 참가 신청 건_x000a_"/>
    <m/>
    <s v="코바코"/>
    <m/>
    <n v="100000"/>
    <m/>
    <n v="32070"/>
  </r>
  <r>
    <x v="5"/>
    <s v="2011/03/04"/>
    <x v="6"/>
    <s v="10날자사업비 이월"/>
    <m/>
    <m/>
    <m/>
    <n v="-1201365"/>
    <m/>
    <n v="-1169295"/>
  </r>
  <r>
    <x v="5"/>
    <s v="2011/03/08"/>
    <x v="6"/>
    <s v="'신뢰받는 여성리더를 위한 7H 리더십 워크숍' 교육비 /이상덕"/>
    <s v="10551"/>
    <s v="기타소득"/>
    <m/>
    <n v="1000000"/>
    <m/>
    <n v="-169295"/>
  </r>
  <r>
    <x v="5"/>
    <s v="2011/04/14"/>
    <x v="7"/>
    <s v="여성마라톤대회 직원참가비 정산의 건"/>
    <m/>
    <s v="여성신문사"/>
    <m/>
    <n v="30000"/>
    <m/>
    <n v="-139295"/>
  </r>
  <r>
    <x v="5"/>
    <s v="2011/05/16"/>
    <x v="8"/>
    <s v="회계실무과정 교육비"/>
    <m/>
    <s v="한국사회복지협의회"/>
    <m/>
    <n v="100000"/>
    <m/>
    <m/>
  </r>
  <r>
    <x v="5"/>
    <s v="2011/05/16"/>
    <x v="8"/>
    <s v="자원봉사활동 인증관리교육비 신청의 건"/>
    <m/>
    <s v="사회복지협의회(이지스엔터프라이즈)"/>
    <m/>
    <n v="10000"/>
    <m/>
    <n v="-29295"/>
  </r>
  <r>
    <x v="5"/>
    <s v="2011/05/26"/>
    <x v="8"/>
    <s v="교육훈련비 비용 신청의 건"/>
    <m/>
    <s v="이해리"/>
    <m/>
    <n v="100000"/>
    <m/>
    <n v="70705"/>
  </r>
  <r>
    <x v="5"/>
    <s v="2011/06/02"/>
    <x v="1"/>
    <s v="사무처 워크숍 숙소 계약금 지출의 건 "/>
    <s v="10532"/>
    <s v="서울유스호스텔"/>
    <s v="201-82-05278"/>
    <n v="188100"/>
    <m/>
    <n v="258805"/>
  </r>
  <r>
    <x v="5"/>
    <s v="2011/06/17"/>
    <x v="1"/>
    <s v="1.건명:2011년 외부교육 참가_x000a_1.건명 : 2011년 외부교육 참가"/>
    <m/>
    <s v="ODA watch"/>
    <m/>
    <n v="100000"/>
    <m/>
    <n v="358805"/>
  </r>
  <r>
    <x v="5"/>
    <s v="2011/06/21"/>
    <x v="1"/>
    <s v="상반기 워크샵 답사 관련 비용 지출의 건"/>
    <m/>
    <s v="자하"/>
    <m/>
    <n v="21000"/>
    <m/>
    <m/>
  </r>
  <r>
    <x v="5"/>
    <s v="2011/06/21"/>
    <x v="1"/>
    <s v="상반기 워크샵 답사 관련 비용 지출의 건"/>
    <m/>
    <s v="콜드스톤크리머리 코리아명동점"/>
    <m/>
    <n v="6400"/>
    <m/>
    <m/>
  </r>
  <r>
    <x v="5"/>
    <s v="2011/06/21"/>
    <x v="1"/>
    <s v="상반기 워크샵 답사 관련 비용 지출의 건"/>
    <m/>
    <s v="마을버스"/>
    <m/>
    <n v="2100"/>
    <m/>
    <n v="388305"/>
  </r>
  <r>
    <x v="5"/>
    <s v="2011/06/28"/>
    <x v="1"/>
    <s v="재단직원 상반기 워크숍 경비 지출의 건"/>
    <m/>
    <s v="구내매점"/>
    <m/>
    <n v="22500"/>
    <m/>
    <m/>
  </r>
  <r>
    <x v="5"/>
    <s v="2011/06/28"/>
    <x v="1"/>
    <s v="재단직원 상반기 워크숍 경비 지출의 건"/>
    <m/>
    <s v="구내매점"/>
    <m/>
    <n v="5000"/>
    <m/>
    <m/>
  </r>
  <r>
    <x v="5"/>
    <s v="2011/06/28"/>
    <x v="1"/>
    <s v="재단직원 상반기 워크숍 경비 지출의 건"/>
    <m/>
    <s v="구내매점"/>
    <m/>
    <n v="2100"/>
    <m/>
    <m/>
  </r>
  <r>
    <x v="5"/>
    <s v="2011/06/28"/>
    <x v="1"/>
    <s v="재단직원 상반기 워크숍 경비 지출의 건"/>
    <m/>
    <s v="구내매점"/>
    <m/>
    <n v="4500"/>
    <m/>
    <m/>
  </r>
  <r>
    <x v="5"/>
    <s v="2011/06/28"/>
    <x v="1"/>
    <s v="재단직원 상반기 워크숍 경비 지출의 건"/>
    <m/>
    <s v="구내매점"/>
    <m/>
    <n v="1500"/>
    <m/>
    <m/>
  </r>
  <r>
    <x v="5"/>
    <s v="2011/06/28"/>
    <x v="1"/>
    <s v="재단직원 상반기 워크숍 경비 지출의 건"/>
    <m/>
    <s v="명동세종점"/>
    <m/>
    <n v="1000"/>
    <m/>
    <m/>
  </r>
  <r>
    <x v="5"/>
    <s v="2011/06/28"/>
    <x v="1"/>
    <s v="재단직원 상반기 워크숍 경비 지출의 건"/>
    <m/>
    <s v="비어할레명동점"/>
    <m/>
    <n v="331300"/>
    <m/>
    <m/>
  </r>
  <r>
    <x v="5"/>
    <s v="2011/06/28"/>
    <x v="1"/>
    <s v="재단직원 상반기 워크숍 경비 지출의 건"/>
    <m/>
    <s v="토다이"/>
    <m/>
    <n v="561000"/>
    <m/>
    <m/>
  </r>
  <r>
    <x v="5"/>
    <s v="2011/06/28"/>
    <x v="1"/>
    <s v="재단직원 상반기 워크숍 경비 지출의 건"/>
    <m/>
    <s v="마을버스(5번)"/>
    <m/>
    <n v="11200"/>
    <m/>
    <m/>
  </r>
  <r>
    <x v="5"/>
    <s v="2011/06/28"/>
    <x v="1"/>
    <s v="재단직원 상반기 워크숍 경비 지출의 건"/>
    <m/>
    <s v="구내매점"/>
    <m/>
    <n v="7500"/>
    <m/>
    <m/>
  </r>
  <r>
    <x v="5"/>
    <s v="2011/06/28"/>
    <x v="1"/>
    <s v="재단직원 상반기 워크숍 경비 지출의 건"/>
    <m/>
    <s v="서울족발"/>
    <m/>
    <n v="25000"/>
    <m/>
    <m/>
  </r>
  <r>
    <x v="5"/>
    <s v="2011/06/28"/>
    <x v="1"/>
    <s v="재단직원 상반기 워크숍 경비 지출의 건"/>
    <m/>
    <s v="서울족발"/>
    <m/>
    <n v="27000"/>
    <m/>
    <n v="1387905"/>
  </r>
  <r>
    <x v="5"/>
    <s v="2011/06/29"/>
    <x v="1"/>
    <s v="재단직원 상반기 워크샵 관련 상금 지출의건"/>
    <m/>
    <s v="김은경(1팀조장)"/>
    <m/>
    <n v="50000"/>
    <m/>
    <n v="1437905"/>
  </r>
  <r>
    <x v="5"/>
    <s v="2011/09/21"/>
    <x v="2"/>
    <s v="기부클럽(Giving Club) 구성 및 운영 교육 참가 신청 건"/>
    <m/>
    <s v="도움과나눔"/>
    <m/>
    <n v="135000"/>
    <m/>
    <n v="1572905"/>
  </r>
  <r>
    <x v="5"/>
    <s v="2011/10/05"/>
    <x v="11"/>
    <s v="하반기 워크샵 답사시 음료 지출의 건"/>
    <m/>
    <s v="파라"/>
    <m/>
    <n v="3800"/>
    <m/>
    <n v="1576705"/>
  </r>
  <r>
    <x v="5"/>
    <s v="2011/11/01"/>
    <x v="3"/>
    <s v="1.건명:외부교육참가"/>
    <m/>
    <s v="아름다운재단"/>
    <m/>
    <n v="50000"/>
    <m/>
    <m/>
  </r>
  <r>
    <x v="5"/>
    <s v="2011/11/01"/>
    <x v="3"/>
    <s v="1.건명:외부교육참가"/>
    <m/>
    <s v="아름다운재단"/>
    <m/>
    <n v="160000"/>
    <m/>
    <n v="1786705"/>
  </r>
  <r>
    <x v="5"/>
    <s v="2011/11/09"/>
    <x v="3"/>
    <s v="비영리 법인의 증빙관리 교육 참가의 건"/>
    <m/>
    <s v="(주)이나우스아카데미"/>
    <m/>
    <n v="180000"/>
    <m/>
    <n v="1966705"/>
  </r>
  <r>
    <x v="5"/>
    <s v="2011/11/14"/>
    <x v="3"/>
    <s v="교육훈련비 비용 신청의 건"/>
    <m/>
    <s v="환경재단"/>
    <m/>
    <n v="20000"/>
    <m/>
    <n v="1986705"/>
  </r>
  <r>
    <x v="5"/>
    <s v="2011/12/07"/>
    <x v="4"/>
    <s v="교육참가(이현미)에 따른비 사업주환급금"/>
    <m/>
    <m/>
    <m/>
    <n v="-41460"/>
    <m/>
    <n v="1945245"/>
  </r>
  <r>
    <x v="6"/>
    <s v="2011/01/19"/>
    <x v="5"/>
    <s v="총무팀 교통카드 충전비 정산의 건"/>
    <m/>
    <s v="미니스톱"/>
    <m/>
    <n v="30000"/>
    <m/>
    <n v="30000"/>
  </r>
  <r>
    <x v="6"/>
    <s v="2011/02/08"/>
    <x v="0"/>
    <s v="사무총장 교통비 지출의 건"/>
    <m/>
    <s v="강경희"/>
    <m/>
    <n v="4800"/>
    <m/>
    <m/>
  </r>
  <r>
    <x v="6"/>
    <s v="2011/02/08"/>
    <x v="0"/>
    <s v="사무총장 교통비 지출의 건"/>
    <m/>
    <s v="전국고속버스운송사업조합"/>
    <m/>
    <n v="20600"/>
    <m/>
    <n v="55400"/>
  </r>
  <r>
    <x v="6"/>
    <s v="2011/02/09"/>
    <x v="0"/>
    <s v="교통비 정산의 건"/>
    <m/>
    <s v="개인택시"/>
    <m/>
    <n v="2400"/>
    <m/>
    <m/>
  </r>
  <r>
    <x v="6"/>
    <s v="2011/02/09"/>
    <x v="0"/>
    <s v="교통비 정산의 건"/>
    <m/>
    <s v="택시"/>
    <m/>
    <n v="2400"/>
    <m/>
    <n v="60200"/>
  </r>
  <r>
    <x v="6"/>
    <s v="2011/02/10"/>
    <x v="0"/>
    <s v="근로복지공단 설명회 참석에 따른 교통비 지출의 건"/>
    <m/>
    <s v="대경상운(주)"/>
    <m/>
    <n v="3300"/>
    <m/>
    <n v="63500"/>
  </r>
  <r>
    <x v="6"/>
    <s v="2011/02/18"/>
    <x v="0"/>
    <s v="총무팀 교통카드 충전의 건"/>
    <m/>
    <s v="미니스톱 서교2점"/>
    <m/>
    <n v="30000"/>
    <m/>
    <n v="93500"/>
  </r>
  <r>
    <x v="6"/>
    <s v="2011/02/28"/>
    <x v="0"/>
    <s v="사무총장 교통비 지출의 건"/>
    <m/>
    <s v="청기와주차장"/>
    <m/>
    <n v="10000"/>
    <m/>
    <m/>
  </r>
  <r>
    <x v="6"/>
    <s v="2011/02/28"/>
    <x v="0"/>
    <s v="사무총장 교통비 지출의 건"/>
    <m/>
    <s v="청기와주차장"/>
    <m/>
    <n v="10000"/>
    <m/>
    <m/>
  </r>
  <r>
    <x v="6"/>
    <s v="2011/02/28"/>
    <x v="0"/>
    <s v="사무총장 교통비 지출의 건"/>
    <m/>
    <s v="청기와"/>
    <m/>
    <n v="10000"/>
    <m/>
    <m/>
  </r>
  <r>
    <x v="6"/>
    <s v="2011/02/28"/>
    <x v="0"/>
    <s v="사무총장 교통비 지출의 건"/>
    <m/>
    <s v="청기와"/>
    <m/>
    <n v="10000"/>
    <m/>
    <m/>
  </r>
  <r>
    <x v="6"/>
    <s v="2011/02/28"/>
    <x v="0"/>
    <s v="사무총장 교통비 지출의 건"/>
    <m/>
    <s v="(주)백제운수"/>
    <m/>
    <n v="5000"/>
    <m/>
    <m/>
  </r>
  <r>
    <x v="6"/>
    <s v="2011/02/28"/>
    <x v="0"/>
    <s v="사무총장 교통비 지출의 건"/>
    <m/>
    <s v="서울시관리공단"/>
    <m/>
    <n v="2000"/>
    <m/>
    <m/>
  </r>
  <r>
    <x v="6"/>
    <s v="2011/02/28"/>
    <x v="0"/>
    <s v="사무총장 교통비 지출의 건"/>
    <m/>
    <s v="서울31아8140"/>
    <m/>
    <n v="7000"/>
    <m/>
    <n v="147500"/>
  </r>
  <r>
    <x v="6"/>
    <s v="2011/03/14"/>
    <x v="6"/>
    <s v="사무총장 교통비 지출의 건"/>
    <m/>
    <s v="서울31아7783"/>
    <m/>
    <n v="18300"/>
    <m/>
    <m/>
  </r>
  <r>
    <x v="6"/>
    <s v="2011/03/14"/>
    <x v="6"/>
    <s v="사무총장 교통비 지출의 건"/>
    <m/>
    <s v="서울31바8497"/>
    <m/>
    <n v="7600"/>
    <m/>
    <m/>
  </r>
  <r>
    <x v="6"/>
    <s v="2011/03/14"/>
    <x v="6"/>
    <s v="사무총장 교통비 지출의 건"/>
    <m/>
    <s v="동일운수(주)"/>
    <m/>
    <n v="5500"/>
    <m/>
    <m/>
  </r>
  <r>
    <x v="6"/>
    <s v="2011/03/14"/>
    <x v="6"/>
    <s v="사무총장 교통비 지출의 건"/>
    <m/>
    <s v="(주)강성교통"/>
    <m/>
    <n v="6500"/>
    <m/>
    <n v="185400"/>
  </r>
  <r>
    <x v="6"/>
    <s v="2011/04/05"/>
    <x v="7"/>
    <s v="사무총장 교통비 지출의 건"/>
    <m/>
    <s v="영풍콜택시(주)"/>
    <m/>
    <n v="11000"/>
    <m/>
    <m/>
  </r>
  <r>
    <x v="6"/>
    <s v="2011/04/05"/>
    <x v="7"/>
    <s v="사무총장 교통비 지출의 건"/>
    <m/>
    <s v="창운기업(주)"/>
    <m/>
    <n v="8500"/>
    <m/>
    <m/>
  </r>
  <r>
    <x v="6"/>
    <s v="2011/04/05"/>
    <x v="7"/>
    <s v="사무총장 교통비 지출의 건"/>
    <m/>
    <s v="개인택시"/>
    <m/>
    <n v="7400"/>
    <m/>
    <m/>
  </r>
  <r>
    <x v="6"/>
    <s v="2011/04/05"/>
    <x v="7"/>
    <s v="사무총장 교통비 지출의 건"/>
    <m/>
    <s v="한독교통(주)"/>
    <m/>
    <n v="5600"/>
    <m/>
    <m/>
  </r>
  <r>
    <x v="6"/>
    <s v="2011/04/05"/>
    <x v="7"/>
    <s v="사무총장 교통비 지출의 건"/>
    <m/>
    <s v="개인택시"/>
    <m/>
    <n v="4800"/>
    <m/>
    <m/>
  </r>
  <r>
    <x v="6"/>
    <s v="2011/04/05"/>
    <x v="7"/>
    <s v="사무총장 교통비 지출의 건"/>
    <m/>
    <s v="OK택시(주)"/>
    <m/>
    <n v="6900"/>
    <m/>
    <n v="229600"/>
  </r>
  <r>
    <x v="6"/>
    <s v="2011/04/14"/>
    <x v="7"/>
    <s v="사무총장 교통비 지출의 건"/>
    <m/>
    <s v="서울32아4806"/>
    <m/>
    <n v="7700"/>
    <m/>
    <m/>
  </r>
  <r>
    <x v="6"/>
    <s v="2011/04/14"/>
    <x v="7"/>
    <s v="사무총장 교통비 지출의 건"/>
    <m/>
    <s v="삼흥교통 서울33아6580"/>
    <m/>
    <n v="8700"/>
    <m/>
    <n v="246000"/>
  </r>
  <r>
    <x v="6"/>
    <s v="2011/04/21"/>
    <x v="7"/>
    <s v="사무총장 교통비 지출의 건"/>
    <m/>
    <s v="서울32아4736"/>
    <m/>
    <n v="5800"/>
    <m/>
    <m/>
  </r>
  <r>
    <x v="6"/>
    <s v="2011/04/21"/>
    <x v="7"/>
    <s v="사무총장 교통비 지출의 건"/>
    <m/>
    <s v="서울32사4662"/>
    <m/>
    <n v="9000"/>
    <m/>
    <m/>
  </r>
  <r>
    <x v="6"/>
    <s v="2011/04/21"/>
    <x v="7"/>
    <s v="사무총장 교통비 지출의 건"/>
    <m/>
    <s v="서울34아7221"/>
    <m/>
    <n v="7000"/>
    <m/>
    <m/>
  </r>
  <r>
    <x v="6"/>
    <s v="2011/04/21"/>
    <x v="7"/>
    <s v="사무총장 교통비 지출의 건"/>
    <m/>
    <s v="서울31사2071"/>
    <m/>
    <n v="7200"/>
    <m/>
    <n v="275000"/>
  </r>
  <r>
    <x v="6"/>
    <s v="2011/04/28"/>
    <x v="7"/>
    <s v="사무총장 교통비 지출의 건"/>
    <m/>
    <s v="서울32사6529"/>
    <m/>
    <n v="15400"/>
    <m/>
    <m/>
  </r>
  <r>
    <x v="6"/>
    <s v="2011/04/28"/>
    <x v="7"/>
    <s v="사무총장 교통비 지출의 건"/>
    <m/>
    <s v="정우상운(주)"/>
    <m/>
    <n v="7200"/>
    <m/>
    <m/>
  </r>
  <r>
    <x v="6"/>
    <s v="2011/04/28"/>
    <x v="7"/>
    <s v="사무총장 교통비 지출의 건"/>
    <m/>
    <s v="서울31사6840"/>
    <m/>
    <n v="14100"/>
    <m/>
    <n v="311700"/>
  </r>
  <r>
    <x v="6"/>
    <s v="2011/05/23"/>
    <x v="8"/>
    <s v="사무총장 교통비 지출의 건"/>
    <m/>
    <s v="예스택시"/>
    <m/>
    <n v="9700"/>
    <m/>
    <m/>
  </r>
  <r>
    <x v="6"/>
    <s v="2011/05/23"/>
    <x v="8"/>
    <s v="사무총장 교통비 지출의 건"/>
    <m/>
    <s v="개인택시"/>
    <m/>
    <n v="10500"/>
    <m/>
    <m/>
  </r>
  <r>
    <x v="6"/>
    <s v="2011/05/23"/>
    <x v="8"/>
    <s v="사무총장 교통비 지출의 건"/>
    <m/>
    <s v="우남교통"/>
    <m/>
    <n v="8500"/>
    <m/>
    <m/>
  </r>
  <r>
    <x v="6"/>
    <s v="2011/05/23"/>
    <x v="8"/>
    <s v="사무총장 교통비 지출의 건"/>
    <m/>
    <s v="경기45바4469"/>
    <m/>
    <n v="14100"/>
    <m/>
    <m/>
  </r>
  <r>
    <x v="6"/>
    <s v="2011/05/23"/>
    <x v="8"/>
    <s v="교통비 지출의 건"/>
    <m/>
    <s v="개인택시"/>
    <m/>
    <n v="3900"/>
    <m/>
    <n v="358400"/>
  </r>
  <r>
    <x v="6"/>
    <s v="2011/05/26"/>
    <x v="8"/>
    <s v="사무총장 업무추진비 및 교통비 지출의 건"/>
    <m/>
    <s v="티머니택시"/>
    <m/>
    <n v="18500"/>
    <m/>
    <m/>
  </r>
  <r>
    <x v="6"/>
    <s v="2011/05/26"/>
    <x v="8"/>
    <s v="사무총장 업무추진비 및 교통비 지출의 건"/>
    <m/>
    <s v="티머니택시"/>
    <m/>
    <n v="14500"/>
    <m/>
    <m/>
  </r>
  <r>
    <x v="6"/>
    <s v="2011/05/26"/>
    <x v="8"/>
    <s v="사무총장 업무추진비 및 교통비 지출의 건"/>
    <m/>
    <s v="덕성택시(주)"/>
    <m/>
    <n v="10500"/>
    <m/>
    <m/>
  </r>
  <r>
    <x v="6"/>
    <s v="2011/05/26"/>
    <x v="8"/>
    <s v="사무총장 업무추진비 및 교통비 지출의 건"/>
    <m/>
    <s v="광덕택시주식회사"/>
    <m/>
    <n v="12600"/>
    <m/>
    <m/>
  </r>
  <r>
    <x v="6"/>
    <s v="2011/05/26"/>
    <x v="8"/>
    <s v="사무총장 업무추진비 및 교통비 지출의 건"/>
    <m/>
    <s v="개인택시"/>
    <m/>
    <n v="11200"/>
    <m/>
    <m/>
  </r>
  <r>
    <x v="6"/>
    <s v="2011/05/26"/>
    <x v="8"/>
    <s v="사무총장 업무추진비 및 교통비 지출의 건"/>
    <m/>
    <s v="개인택시"/>
    <m/>
    <n v="8400"/>
    <m/>
    <n v="434100"/>
  </r>
  <r>
    <x v="6"/>
    <s v="2011/06/02"/>
    <x v="1"/>
    <s v="사무총장 업무추진비 및 교통비 지출의 건"/>
    <m/>
    <s v="승진기업(주)"/>
    <m/>
    <n v="2500"/>
    <m/>
    <m/>
  </r>
  <r>
    <x v="6"/>
    <s v="2011/06/02"/>
    <x v="1"/>
    <s v="사무총장 업무추진비 및 교통비 지출의 건"/>
    <m/>
    <s v="일흥교통"/>
    <m/>
    <n v="5900"/>
    <m/>
    <m/>
  </r>
  <r>
    <x v="6"/>
    <s v="2011/06/02"/>
    <x v="1"/>
    <s v="사무총장 업무추진비 및 교통비 지출의 건"/>
    <m/>
    <s v="개인택시"/>
    <m/>
    <n v="3500"/>
    <m/>
    <n v="446000"/>
  </r>
  <r>
    <x v="6"/>
    <s v="2011/07/04"/>
    <x v="9"/>
    <s v="사무총장 업무추진비 및 교통비 지출의 건"/>
    <m/>
    <s v="개인택시"/>
    <m/>
    <n v="15100"/>
    <m/>
    <m/>
  </r>
  <r>
    <x v="6"/>
    <s v="2011/07/04"/>
    <x v="9"/>
    <s v="사무총장 업무추진비 및 교통비 지출의 건"/>
    <m/>
    <s v="강동통상(주)"/>
    <m/>
    <n v="9700"/>
    <m/>
    <m/>
  </r>
  <r>
    <x v="6"/>
    <s v="2011/07/04"/>
    <x v="9"/>
    <s v="사무총장 업무추진비 및 교통비 지출의 건"/>
    <m/>
    <s v="전진교통(주)"/>
    <m/>
    <n v="14200"/>
    <m/>
    <m/>
  </r>
  <r>
    <x v="6"/>
    <s v="2011/07/04"/>
    <x v="9"/>
    <s v="사무총장 업무추진비 및 교통비 지출의 건"/>
    <m/>
    <s v="개인택시"/>
    <m/>
    <n v="4200"/>
    <m/>
    <m/>
  </r>
  <r>
    <x v="6"/>
    <s v="2011/07/04"/>
    <x v="9"/>
    <s v="사무총장 업무추진비 및 교통비 지출의 건"/>
    <m/>
    <s v="개인택시"/>
    <m/>
    <n v="8800"/>
    <m/>
    <m/>
  </r>
  <r>
    <x v="6"/>
    <s v="2011/07/04"/>
    <x v="9"/>
    <s v="사무총장 업무추진비 및 교통비 지출의 건"/>
    <m/>
    <s v="개인택시"/>
    <m/>
    <n v="7900"/>
    <m/>
    <n v="505900"/>
  </r>
  <r>
    <x v="6"/>
    <s v="2011/10/24"/>
    <x v="11"/>
    <s v="교통비 지출의 건"/>
    <m/>
    <s v="개인택시"/>
    <m/>
    <n v="2400"/>
    <m/>
    <n v="508300"/>
  </r>
  <r>
    <x v="7"/>
    <s v="2011/01/18"/>
    <x v="5"/>
    <s v="2001년 1월분 정기분 등록면허세 지출의 건"/>
    <m/>
    <s v="마포구청"/>
    <m/>
    <n v="18000"/>
    <m/>
    <n v="18000"/>
  </r>
  <r>
    <x v="7"/>
    <s v="2011/03/18"/>
    <x v="6"/>
    <s v="시설물분 환경개선부담금 지출의 건"/>
    <m/>
    <s v="마포구청"/>
    <m/>
    <n v="280250"/>
    <m/>
    <n v="298250"/>
  </r>
  <r>
    <x v="7"/>
    <s v="2011/04/14"/>
    <x v="7"/>
    <s v="2011년 1기 예정 부가세 신고 및 납부의 건"/>
    <s v="10319"/>
    <s v="마포세무서"/>
    <m/>
    <n v="145972"/>
    <m/>
    <n v="444222"/>
  </r>
  <r>
    <x v="7"/>
    <s v="2011/07/15"/>
    <x v="9"/>
    <s v="2011년 7월(건축물분) 재산세 납부의 건"/>
    <m/>
    <s v="마포구청"/>
    <m/>
    <n v="2628990"/>
    <m/>
    <m/>
  </r>
  <r>
    <x v="7"/>
    <s v="2011/07/15"/>
    <x v="9"/>
    <s v="주민세 재산분 신고 납부의 건"/>
    <m/>
    <s v="마포구청"/>
    <m/>
    <n v="109750"/>
    <m/>
    <n v="3182962"/>
  </r>
  <r>
    <x v="7"/>
    <s v="2011/07/18"/>
    <x v="9"/>
    <s v="2011년 1기 확정 부가세 신고 및 납부의 건"/>
    <s v="10319"/>
    <s v="마포세무서"/>
    <m/>
    <n v="150128"/>
    <m/>
    <n v="3333090"/>
  </r>
  <r>
    <x v="7"/>
    <s v="2011/08/19"/>
    <x v="10"/>
    <s v="주민세(법인균등분) 지출의 건_x000a__x000a_"/>
    <m/>
    <s v="마포구청"/>
    <m/>
    <n v="62500"/>
    <m/>
    <n v="3395590"/>
  </r>
  <r>
    <x v="7"/>
    <s v="2011/09/14"/>
    <x v="2"/>
    <s v="2011년 9월(토지분) 재산세 지출의 건"/>
    <m/>
    <s v="마포구청"/>
    <m/>
    <n v="5945060"/>
    <m/>
    <n v="9340650"/>
  </r>
  <r>
    <x v="7"/>
    <s v="2011/09/16"/>
    <x v="2"/>
    <s v="시설물분 환경개선부담금 지출의 건"/>
    <m/>
    <s v="마포구청"/>
    <m/>
    <n v="294290"/>
    <m/>
    <n v="9634940"/>
  </r>
  <r>
    <x v="7"/>
    <s v="2011/10/11"/>
    <x v="11"/>
    <s v="2011년 교통유발부담금 지출"/>
    <m/>
    <s v="마포구청"/>
    <m/>
    <n v="879600"/>
    <m/>
    <n v="10514540"/>
  </r>
  <r>
    <x v="7"/>
    <s v="2011/10/14"/>
    <x v="11"/>
    <s v="2011년 2기 예정 부가세 신고 및 납부의 건"/>
    <s v="10319"/>
    <s v="마포세무서"/>
    <m/>
    <n v="149216"/>
    <m/>
    <n v="10663756"/>
  </r>
  <r>
    <x v="7"/>
    <s v="2011/12/31"/>
    <x v="4"/>
    <s v="2011년 2기 확정 부가세 납부"/>
    <s v="10319"/>
    <s v="마포세무서"/>
    <m/>
    <n v="147116"/>
    <m/>
    <m/>
  </r>
  <r>
    <x v="8"/>
    <s v="2011/01/20"/>
    <x v="5"/>
    <s v="재단 사옥 화재보험료 납부의 건"/>
    <s v="10335"/>
    <s v="현대해상화재보험"/>
    <m/>
    <n v="600000"/>
    <m/>
    <n v="600000"/>
  </r>
  <r>
    <x v="8"/>
    <s v="2011/02/21"/>
    <x v="0"/>
    <s v="재단 사옥 화재보험료 납부의 건"/>
    <s v="10335"/>
    <s v="현대해상화재보험"/>
    <m/>
    <n v="600000"/>
    <m/>
    <n v="1200000"/>
  </r>
  <r>
    <x v="8"/>
    <s v="2011/03/03"/>
    <x v="6"/>
    <s v="보증보험 가입신청의 건"/>
    <s v="10302"/>
    <s v="서울보증보험주식회사"/>
    <m/>
    <n v="126220"/>
    <m/>
    <n v="1326220"/>
  </r>
  <r>
    <x v="8"/>
    <s v="2011/03/21"/>
    <x v="6"/>
    <s v="재단 사옥 화재보험료 납부의 건"/>
    <s v="10335"/>
    <s v="현대해상화재보험"/>
    <m/>
    <n v="600000"/>
    <m/>
    <n v="1926220"/>
  </r>
  <r>
    <x v="8"/>
    <s v="2011/04/20"/>
    <x v="7"/>
    <s v="재단 사옥 화재보험료 납부의 건"/>
    <s v="10335"/>
    <s v="현대해상화재보험"/>
    <m/>
    <n v="600000"/>
    <m/>
    <n v="2526220"/>
  </r>
  <r>
    <x v="8"/>
    <s v="2011/05/20"/>
    <x v="8"/>
    <s v="재단 사옥 화재보험료 납부의 건"/>
    <s v="10335"/>
    <s v="현대해상화재보험"/>
    <m/>
    <n v="600000"/>
    <m/>
    <n v="3126220"/>
  </r>
  <r>
    <x v="8"/>
    <s v="2011/06/27"/>
    <x v="1"/>
    <s v="재단 사옥 화재보험료 납부의 건"/>
    <s v="10335"/>
    <s v="현대해상화재보험"/>
    <m/>
    <n v="600000"/>
    <m/>
    <n v="3726220"/>
  </r>
  <r>
    <x v="8"/>
    <s v="2011/07/20"/>
    <x v="9"/>
    <s v="재단 사옥 화재보험료 납부의 건"/>
    <s v="10335"/>
    <s v="현대해상화재보험"/>
    <m/>
    <n v="600000"/>
    <m/>
    <n v="4326220"/>
  </r>
  <r>
    <x v="8"/>
    <s v="2011/08/22"/>
    <x v="10"/>
    <s v="재단 사옥 화재보험료 납부의 건"/>
    <s v="10335"/>
    <s v="현대해상화재보험"/>
    <m/>
    <n v="600000"/>
    <m/>
    <n v="4926220"/>
  </r>
  <r>
    <x v="8"/>
    <s v="2011/09/20"/>
    <x v="2"/>
    <s v="재단 사옥 화재보험료 납부의 건"/>
    <s v="10335"/>
    <s v="현대해상화재보험"/>
    <m/>
    <n v="600000"/>
    <m/>
    <n v="5526220"/>
  </r>
  <r>
    <x v="8"/>
    <s v="2011/10/20"/>
    <x v="11"/>
    <s v="재단 사옥 화재보험료 납부의 건"/>
    <s v="10335"/>
    <s v="현대해상화재보험"/>
    <m/>
    <n v="600000"/>
    <m/>
    <n v="6126220"/>
  </r>
  <r>
    <x v="8"/>
    <s v="2011/11/21"/>
    <x v="3"/>
    <s v="재단 사옥 화재보험료 납부의 건"/>
    <s v="10335"/>
    <s v="현대해상화재보험"/>
    <m/>
    <n v="600000"/>
    <m/>
    <n v="6726220"/>
  </r>
  <r>
    <x v="8"/>
    <s v="2011/12/20"/>
    <x v="4"/>
    <s v="재단 사옥 화재보험료 납부의 건"/>
    <s v="10335"/>
    <s v="현대해상화재보험"/>
    <m/>
    <n v="600000"/>
    <m/>
    <n v="7326220"/>
  </r>
  <r>
    <x v="8"/>
    <s v="2011/12/31"/>
    <x v="4"/>
    <s v="화재보험료/현대해상화재보험"/>
    <s v="90090"/>
    <s v="현대화재보험"/>
    <m/>
    <n v="-6096348"/>
    <m/>
    <m/>
  </r>
  <r>
    <x v="9"/>
    <s v="2011/01/18"/>
    <x v="5"/>
    <s v="12월분 도시가스요금 지출의 건"/>
    <s v="10158"/>
    <s v="서울도시가스(주)"/>
    <s v="109-81-31605"/>
    <n v="280350"/>
    <m/>
    <m/>
  </r>
  <r>
    <x v="9"/>
    <s v="2011/01/18"/>
    <x v="5"/>
    <s v="12월분 도시가스요금 지출의 건"/>
    <s v="10158"/>
    <s v="서울도시가스(주)"/>
    <s v="109-81-31605"/>
    <n v="95160"/>
    <m/>
    <m/>
  </r>
  <r>
    <x v="9"/>
    <s v="2011/01/18"/>
    <x v="5"/>
    <s v="12월분 도시가스요금 지출의 건"/>
    <s v="10158"/>
    <s v="서울도시가스(주)"/>
    <s v="109-81-31605"/>
    <n v="86590"/>
    <m/>
    <n v="462100"/>
  </r>
  <r>
    <x v="9"/>
    <s v="2011/01/28"/>
    <x v="5"/>
    <s v="1월분 상하수도요금 지출의 건"/>
    <m/>
    <s v="서울시 서부수도사업소"/>
    <m/>
    <n v="415400"/>
    <m/>
    <m/>
  </r>
  <r>
    <x v="9"/>
    <s v="2011/01/28"/>
    <x v="5"/>
    <s v="재단건물(공용) 전기요금 지출의 건"/>
    <m/>
    <s v="한국전력공사"/>
    <m/>
    <n v="105210"/>
    <m/>
    <m/>
  </r>
  <r>
    <x v="9"/>
    <s v="2011/01/28"/>
    <x v="5"/>
    <s v="1층 전기요금 지출의 건"/>
    <m/>
    <s v="한국전력공사"/>
    <m/>
    <n v="173910"/>
    <m/>
    <m/>
  </r>
  <r>
    <x v="9"/>
    <s v="2011/01/28"/>
    <x v="5"/>
    <s v="5층 전기요금 지출의 건"/>
    <m/>
    <s v="한국전력공사"/>
    <m/>
    <n v="337910"/>
    <m/>
    <n v="1494530"/>
  </r>
  <r>
    <x v="9"/>
    <s v="2011/01/31"/>
    <x v="5"/>
    <s v="쿠기인터내셔날 1월분 관리비(상하수도요금)"/>
    <s v="10239"/>
    <s v="주식회사 쿠기인터내셔날"/>
    <s v="105-87-13835"/>
    <n v="-83080"/>
    <m/>
    <m/>
  </r>
  <r>
    <x v="9"/>
    <s v="2011/01/31"/>
    <x v="5"/>
    <s v="서서울텔레콤 1월분 관리비(상하수도요금)"/>
    <s v="10157"/>
    <s v="서서울텔레콤 주식회사"/>
    <s v="110-81-48182"/>
    <n v="-166160"/>
    <m/>
    <n v="1245290"/>
  </r>
  <r>
    <x v="9"/>
    <s v="2011/02/17"/>
    <x v="0"/>
    <s v="1월분 도시가스요금 지출의 건-지하1층"/>
    <s v="10158"/>
    <s v="서울도시가스(주)"/>
    <s v="109-81-31605"/>
    <n v="295430"/>
    <m/>
    <m/>
  </r>
  <r>
    <x v="9"/>
    <s v="2011/02/17"/>
    <x v="0"/>
    <s v="1월분 도시가스요금 지출의 건-1층"/>
    <s v="10158"/>
    <s v="서울도시가스(주)"/>
    <s v="109-81-31605"/>
    <n v="129150"/>
    <m/>
    <m/>
  </r>
  <r>
    <x v="9"/>
    <s v="2011/02/17"/>
    <x v="0"/>
    <s v="1월분 도시가스요금 지출의 건-5층"/>
    <s v="10158"/>
    <s v="서울도시가스(주)"/>
    <s v="109-81-31605"/>
    <n v="340530"/>
    <m/>
    <n v="2010400"/>
  </r>
  <r>
    <x v="9"/>
    <s v="2011/02/28"/>
    <x v="0"/>
    <s v="5층 전기요금 지출의 건"/>
    <s v="10277"/>
    <s v="한국전력공사 서부지점"/>
    <s v="105-82-03050"/>
    <n v="312340"/>
    <m/>
    <m/>
  </r>
  <r>
    <x v="9"/>
    <s v="2011/02/28"/>
    <x v="0"/>
    <s v="재단건물(공용) 전기요금 지출의 건"/>
    <s v="10277"/>
    <s v="한국전력공사 서부지점"/>
    <s v="105-82-03050"/>
    <n v="100700"/>
    <m/>
    <n v="2423440"/>
  </r>
  <r>
    <x v="9"/>
    <s v="2011/03/14"/>
    <x v="6"/>
    <s v="3월분 도시가스요금 지출의 건-5층"/>
    <s v="10158"/>
    <s v="서울도시가스(주)"/>
    <s v="109-81-31605"/>
    <n v="360940"/>
    <m/>
    <m/>
  </r>
  <r>
    <x v="9"/>
    <s v="2011/03/14"/>
    <x v="6"/>
    <s v="3월분 도시가스요금 지출의 건-지하1층"/>
    <s v="10158"/>
    <s v="서울도시가스(주)"/>
    <s v="109-81-31605"/>
    <n v="274060"/>
    <m/>
    <n v="3058440"/>
  </r>
  <r>
    <x v="9"/>
    <s v="2011/03/28"/>
    <x v="6"/>
    <s v="재단건물(공용) 전기요금 지출의 건"/>
    <s v="10277"/>
    <s v="한국전력공사 서부지점"/>
    <s v="105-82-03050"/>
    <n v="90440"/>
    <m/>
    <m/>
  </r>
  <r>
    <x v="9"/>
    <s v="2011/03/28"/>
    <x v="6"/>
    <s v="3월분 상하수도요금 지출의 건"/>
    <m/>
    <s v="서울시 서부수도사업소"/>
    <m/>
    <n v="412190"/>
    <m/>
    <m/>
  </r>
  <r>
    <x v="9"/>
    <s v="2011/03/28"/>
    <x v="6"/>
    <s v="5층 전기요금 지출의 건"/>
    <s v="10277"/>
    <s v="한국전력공사 서부지점"/>
    <s v="105-82-03050"/>
    <n v="246460"/>
    <m/>
    <n v="3807530"/>
  </r>
  <r>
    <x v="9"/>
    <s v="2011/03/31"/>
    <x v="6"/>
    <s v="쿠기인터내셔날 3월분 관리비(상하수도요금)"/>
    <s v="10320"/>
    <s v="마포구청"/>
    <m/>
    <n v="-82430"/>
    <m/>
    <m/>
  </r>
  <r>
    <x v="9"/>
    <s v="2011/03/31"/>
    <x v="6"/>
    <s v="서서울텔레콤 3월분 관리비(상하수도요금)"/>
    <s v="10320"/>
    <s v="마포구청"/>
    <m/>
    <n v="-164860"/>
    <m/>
    <n v="3560240"/>
  </r>
  <r>
    <x v="9"/>
    <s v="2011/04/15"/>
    <x v="7"/>
    <s v="4월분 도시가스요금 지출의 건-5층"/>
    <s v="10158"/>
    <s v="서울도시가스(주)"/>
    <s v="109-81-31605"/>
    <n v="249000"/>
    <m/>
    <m/>
  </r>
  <r>
    <x v="9"/>
    <s v="2011/04/15"/>
    <x v="7"/>
    <s v="4월분 도시가스요금 지출의 건-지하1층"/>
    <s v="10158"/>
    <s v="서울도시가스(주)"/>
    <s v="109-81-31605"/>
    <n v="181830"/>
    <m/>
    <n v="3991070"/>
  </r>
  <r>
    <x v="9"/>
    <s v="2011/04/21"/>
    <x v="7"/>
    <s v="재단건물(공용) 전기요금 지출의 건"/>
    <s v="10277"/>
    <s v="한국전력공사 서부지점"/>
    <s v="105-82-03050"/>
    <n v="88200"/>
    <m/>
    <m/>
  </r>
  <r>
    <x v="9"/>
    <s v="2011/04/21"/>
    <x v="7"/>
    <s v="5층 전기요금 지출의 건"/>
    <s v="10277"/>
    <s v="한국전력공사 서부지점"/>
    <s v="105-82-03050"/>
    <n v="208630"/>
    <m/>
    <n v="4287900"/>
  </r>
  <r>
    <x v="9"/>
    <s v="2011/05/13"/>
    <x v="8"/>
    <s v="5월분 도시가스요금 지출의 건-5층"/>
    <s v="10158"/>
    <s v="서울도시가스(주)"/>
    <s v="109-81-31605"/>
    <n v="229300"/>
    <m/>
    <m/>
  </r>
  <r>
    <x v="9"/>
    <s v="2011/05/13"/>
    <x v="8"/>
    <s v="5월분 도시가스요금 지출의 건-지하1층"/>
    <s v="10158"/>
    <s v="서울도시가스(주)"/>
    <s v="109-81-31605"/>
    <n v="139730"/>
    <m/>
    <n v="4656930"/>
  </r>
  <r>
    <x v="9"/>
    <s v="2011/05/24"/>
    <x v="8"/>
    <s v="5월분 상하수도요금 지출의 건"/>
    <m/>
    <s v="서울시 서부수도사업소"/>
    <m/>
    <n v="395760"/>
    <m/>
    <m/>
  </r>
  <r>
    <x v="9"/>
    <s v="2011/05/24"/>
    <x v="8"/>
    <s v="재단건물(공용) 전기요금 지출의 건"/>
    <s v="10277"/>
    <s v="한국전력공사 서부지점"/>
    <s v="105-82-03050"/>
    <n v="86930"/>
    <m/>
    <m/>
  </r>
  <r>
    <x v="9"/>
    <s v="2011/05/24"/>
    <x v="8"/>
    <s v="5층 전기요금 지출의 건"/>
    <s v="10277"/>
    <s v="한국전력공사 서부지점"/>
    <s v="105-82-03050"/>
    <n v="193790"/>
    <m/>
    <n v="5333410"/>
  </r>
  <r>
    <x v="9"/>
    <s v="2011/05/31"/>
    <x v="8"/>
    <s v="쿠기인터내셔날 5월분 관리비(수도요금)"/>
    <s v="10239"/>
    <s v="주식회사 쿠기인터내셔날"/>
    <s v="105-87-13835"/>
    <n v="-79150"/>
    <m/>
    <m/>
  </r>
  <r>
    <x v="9"/>
    <s v="2011/05/31"/>
    <x v="8"/>
    <s v="서서울텔레콤 5월분 관리비(수도요금)"/>
    <s v="10157"/>
    <s v="서서울텔레콤 주식회사"/>
    <s v="110-81-48182"/>
    <n v="-237450"/>
    <m/>
    <n v="5016810"/>
  </r>
  <r>
    <x v="9"/>
    <s v="2011/06/16"/>
    <x v="1"/>
    <s v="6월분 도시가스요금 지출의 건-5층"/>
    <s v="10158"/>
    <s v="서울도시가스(주)"/>
    <s v="109-81-31605"/>
    <n v="126370"/>
    <m/>
    <m/>
  </r>
  <r>
    <x v="9"/>
    <s v="2011/06/16"/>
    <x v="1"/>
    <s v="6월분 도시가스요금 지출의 건-지하1층"/>
    <s v="10158"/>
    <s v="서울도시가스(주)"/>
    <s v="109-81-31605"/>
    <n v="66300"/>
    <m/>
    <n v="5209480"/>
  </r>
  <r>
    <x v="9"/>
    <s v="2011/06/27"/>
    <x v="1"/>
    <s v="5층 전기요금 지출의 건"/>
    <s v="10277"/>
    <s v="한국전력공사 서부지점"/>
    <s v="105-82-03050"/>
    <n v="197040"/>
    <m/>
    <m/>
  </r>
  <r>
    <x v="9"/>
    <s v="2011/06/27"/>
    <x v="1"/>
    <s v="재단건물(공용) 전기요금 지출의 건"/>
    <s v="10277"/>
    <s v="한국전력공사 서부지점"/>
    <s v="105-82-03050"/>
    <n v="82950"/>
    <m/>
    <n v="5489470"/>
  </r>
  <r>
    <x v="9"/>
    <s v="2011/07/15"/>
    <x v="9"/>
    <s v="7월분 도시가스요금 지출의 건-5층"/>
    <s v="10158"/>
    <s v="서울도시가스(주)"/>
    <s v="109-81-31605"/>
    <n v="4570"/>
    <m/>
    <n v="5494040"/>
  </r>
  <r>
    <x v="9"/>
    <s v="2011/07/22"/>
    <x v="9"/>
    <s v="7월분 상하수도요금 지출의 건"/>
    <m/>
    <s v="서울시 서부수도사업소"/>
    <m/>
    <n v="288360"/>
    <m/>
    <m/>
  </r>
  <r>
    <x v="9"/>
    <s v="2011/07/22"/>
    <x v="9"/>
    <s v="1층 전기요금 지출의 건"/>
    <m/>
    <s v="한국전력공사"/>
    <m/>
    <n v="111970"/>
    <m/>
    <m/>
  </r>
  <r>
    <x v="9"/>
    <s v="2011/07/22"/>
    <x v="9"/>
    <s v="5층 전기요금 지출의 건"/>
    <s v="10277"/>
    <s v="한국전력공사 서부지점"/>
    <s v="105-82-03050"/>
    <n v="242210"/>
    <m/>
    <m/>
  </r>
  <r>
    <x v="9"/>
    <s v="2011/07/22"/>
    <x v="9"/>
    <s v="재단건물(공용) 전기요금 지출의 건"/>
    <s v="10277"/>
    <s v="한국전력공사 서부지점"/>
    <s v="105-82-03050"/>
    <n v="84270"/>
    <m/>
    <n v="6220850"/>
  </r>
  <r>
    <x v="9"/>
    <s v="2011/07/29"/>
    <x v="9"/>
    <s v="쿠기인터내셔날 7월분 관리비(수도광열비)"/>
    <s v="10239"/>
    <s v="주식회사 쿠기인터내셔날"/>
    <s v="105-87-13835"/>
    <n v="-57670"/>
    <m/>
    <m/>
  </r>
  <r>
    <x v="9"/>
    <s v="2011/07/29"/>
    <x v="9"/>
    <s v="우리가 만드는 미래 7월분 관리비(수도광열비)"/>
    <s v="10529"/>
    <s v="(주) 우리가 만드는 미래"/>
    <s v="105-87-14815"/>
    <n v="-20800"/>
    <m/>
    <n v="6142380"/>
  </r>
  <r>
    <x v="9"/>
    <s v="2011/08/01"/>
    <x v="10"/>
    <s v="트랜스폴로지스틱스 7월분 관리비(상하수도료)"/>
    <s v="10528"/>
    <s v="주식회사 트랜스폴로지스틱스"/>
    <s v="105-87-57885"/>
    <n v="-23630"/>
    <m/>
    <n v="6118750"/>
  </r>
  <r>
    <x v="9"/>
    <s v="2011/08/24"/>
    <x v="10"/>
    <s v="재단건물(공용) 전기요금 지출의 건"/>
    <s v="10277"/>
    <s v="한국전력공사 서부지점"/>
    <s v="105-82-03050"/>
    <n v="94270"/>
    <m/>
    <m/>
  </r>
  <r>
    <x v="9"/>
    <s v="2011/08/24"/>
    <x v="10"/>
    <s v="1층 전기요금 지출의 건"/>
    <m/>
    <s v="한국전력공사"/>
    <m/>
    <n v="167940"/>
    <m/>
    <m/>
  </r>
  <r>
    <x v="9"/>
    <s v="2011/08/24"/>
    <x v="10"/>
    <s v="5층 전기요금 지출의 건"/>
    <s v="10277"/>
    <s v="한국전력공사 서부지점"/>
    <s v="105-82-03050"/>
    <n v="306580"/>
    <m/>
    <n v="6687540"/>
  </r>
  <r>
    <x v="9"/>
    <s v="2011/09/20"/>
    <x v="2"/>
    <s v="9월분 상하수도요금 지출의 건"/>
    <m/>
    <s v="서울시 서부수도사업소"/>
    <m/>
    <n v="260820"/>
    <m/>
    <n v="6948360"/>
  </r>
  <r>
    <x v="9"/>
    <s v="2011/09/21"/>
    <x v="2"/>
    <s v="1층 전기요금 지출의 건"/>
    <m/>
    <s v="한국전력공사"/>
    <m/>
    <n v="155000"/>
    <m/>
    <m/>
  </r>
  <r>
    <x v="9"/>
    <s v="2011/09/21"/>
    <x v="2"/>
    <s v="재단건물(공용) 전기요금 지출의 건"/>
    <s v="10277"/>
    <s v="한국전력공사 서부지점"/>
    <s v="105-82-03050"/>
    <n v="91070"/>
    <m/>
    <m/>
  </r>
  <r>
    <x v="9"/>
    <s v="2011/09/21"/>
    <x v="2"/>
    <s v="5층 전기요금 지출의 건"/>
    <s v="10277"/>
    <s v="한국전력공사 서부지점"/>
    <s v="105-82-03050"/>
    <n v="308950"/>
    <m/>
    <n v="7503380"/>
  </r>
  <r>
    <x v="9"/>
    <s v="2011/09/30"/>
    <x v="2"/>
    <s v="쿠기인터내셔날 9월분 관리비(상하수도요금)"/>
    <s v="10239"/>
    <s v="주식회사 쿠기인터내셔날"/>
    <s v="105-87-13835"/>
    <n v="-52160"/>
    <m/>
    <m/>
  </r>
  <r>
    <x v="9"/>
    <s v="2011/09/30"/>
    <x v="2"/>
    <s v="우리가 만드는 미래 9월분 관리비(상하수도요금)"/>
    <s v="10529"/>
    <s v="(주) 우리가 만드는 미래"/>
    <s v="105-87-14815"/>
    <n v="-52160"/>
    <m/>
    <m/>
  </r>
  <r>
    <x v="9"/>
    <s v="2011/09/30"/>
    <x v="2"/>
    <s v="트랜스폴로지스틱스 9월분 관리비(상하수도요금)"/>
    <s v="10528"/>
    <s v="주식회사 트랜스폴로지스틱스"/>
    <s v="105-87-57885"/>
    <n v="-52160"/>
    <m/>
    <n v="7346900"/>
  </r>
  <r>
    <x v="9"/>
    <s v="2011/10/25"/>
    <x v="11"/>
    <s v="재단건물(공용) 전기요금 지출의 건"/>
    <s v="10277"/>
    <s v="한국전력공사 서부지점"/>
    <s v="105-82-03050"/>
    <n v="77800"/>
    <m/>
    <m/>
  </r>
  <r>
    <x v="9"/>
    <s v="2011/10/25"/>
    <x v="11"/>
    <s v="1층 전기요금 지출의 건"/>
    <m/>
    <s v="한국전력공사"/>
    <m/>
    <n v="112150"/>
    <m/>
    <m/>
  </r>
  <r>
    <x v="9"/>
    <s v="2011/10/25"/>
    <x v="11"/>
    <s v="5층 전기요금 지출의 건"/>
    <s v="10277"/>
    <s v="한국전력공사 서부지점"/>
    <s v="105-82-03050"/>
    <n v="180240"/>
    <m/>
    <n v="7717090"/>
  </r>
  <r>
    <x v="9"/>
    <s v="2011/11/15"/>
    <x v="3"/>
    <s v="11월분 도시가스요금 지출의 건"/>
    <s v="10158"/>
    <s v="서울도시가스(주)"/>
    <s v="109-81-31605"/>
    <n v="16820"/>
    <m/>
    <m/>
  </r>
  <r>
    <x v="9"/>
    <s v="2011/11/15"/>
    <x v="3"/>
    <s v="11월분 도시가스요금 지출의 건"/>
    <s v="10158"/>
    <s v="서울도시가스(주)"/>
    <s v="109-81-31605"/>
    <n v="6620"/>
    <m/>
    <n v="7740530"/>
  </r>
  <r>
    <x v="9"/>
    <s v="2011/11/21"/>
    <x v="3"/>
    <s v="9월분 상하수도요금 지출의 건"/>
    <m/>
    <s v="서울시 서부수도사업소"/>
    <m/>
    <n v="421800"/>
    <m/>
    <m/>
  </r>
  <r>
    <x v="9"/>
    <s v="2011/11/21"/>
    <x v="3"/>
    <s v="재단건물(공용) 전기요금 지출의 건"/>
    <s v="10277"/>
    <s v="한국전력공사 서부지점"/>
    <s v="105-82-03050"/>
    <n v="85030"/>
    <m/>
    <m/>
  </r>
  <r>
    <x v="9"/>
    <s v="2011/11/21"/>
    <x v="3"/>
    <s v="1층 전기요금 지출의 건"/>
    <m/>
    <s v="한국전력공사"/>
    <m/>
    <n v="121090"/>
    <m/>
    <m/>
  </r>
  <r>
    <x v="9"/>
    <s v="2011/11/21"/>
    <x v="3"/>
    <s v="5층 전기요금 지출의 건"/>
    <s v="10277"/>
    <s v="한국전력공사 서부지점"/>
    <s v="105-82-03050"/>
    <n v="185900"/>
    <m/>
    <n v="8554350"/>
  </r>
  <r>
    <x v="9"/>
    <s v="2011/11/30"/>
    <x v="3"/>
    <s v="트랜스폴로지스틱스 11월분 관리비(상하수도요금)"/>
    <s v="10528"/>
    <s v="주식회사 트랜스폴로지스틱스"/>
    <s v="105-87-57885"/>
    <n v="-84360"/>
    <m/>
    <m/>
  </r>
  <r>
    <x v="9"/>
    <s v="2011/11/30"/>
    <x v="3"/>
    <s v="우리가 만드는 미래 11월분 관리비(상하수도요금)"/>
    <s v="10529"/>
    <s v="(주) 우리가 만드는 미래"/>
    <s v="105-87-14815"/>
    <n v="-84360"/>
    <m/>
    <m/>
  </r>
  <r>
    <x v="9"/>
    <s v="2011/11/30"/>
    <x v="3"/>
    <s v="쿠기인터내셔날 11월분 관리비(상하수도요금)"/>
    <s v="10239"/>
    <s v="주식회사 쿠기인터내셔날"/>
    <s v="105-87-13835"/>
    <n v="-84360"/>
    <m/>
    <n v="8301270"/>
  </r>
  <r>
    <x v="9"/>
    <s v="2011/12/13"/>
    <x v="4"/>
    <s v="12월분 도시가스요금 지출의 건"/>
    <s v="10158"/>
    <s v="서울도시가스(주)-5층"/>
    <s v="109-81-31605"/>
    <n v="176620"/>
    <m/>
    <m/>
  </r>
  <r>
    <x v="9"/>
    <s v="2011/12/13"/>
    <x v="4"/>
    <s v="12월분 도시가스요금 지출의 건"/>
    <s v="10158"/>
    <s v="서울도시가스(주)-1층"/>
    <s v="109-81-31605"/>
    <n v="97910"/>
    <m/>
    <m/>
  </r>
  <r>
    <x v="9"/>
    <s v="2011/12/13"/>
    <x v="4"/>
    <s v="12월분 도시가스요금 지출의 건"/>
    <s v="10158"/>
    <s v="서울도시가스(주)-지하1층"/>
    <s v="109-81-31605"/>
    <n v="123830"/>
    <m/>
    <n v="8699630"/>
  </r>
  <r>
    <x v="9"/>
    <s v="2011/12/22"/>
    <x v="4"/>
    <s v="1층 전기요금 지출의 건"/>
    <m/>
    <s v="한국전력공사"/>
    <m/>
    <n v="179340"/>
    <m/>
    <m/>
  </r>
  <r>
    <x v="9"/>
    <s v="2011/12/22"/>
    <x v="4"/>
    <s v="5층 전기요금 지출의 건"/>
    <s v="10277"/>
    <s v="한국전력공사 서부지점"/>
    <s v="105-82-03050"/>
    <n v="231030"/>
    <m/>
    <m/>
  </r>
  <r>
    <x v="9"/>
    <s v="2011/12/22"/>
    <x v="4"/>
    <s v="재단건물(공용) 전기요금 지출의 건"/>
    <s v="10277"/>
    <s v="한국전력공사 서부지점"/>
    <s v="105-82-03050"/>
    <n v="97020"/>
    <m/>
    <n v="9207020"/>
  </r>
  <r>
    <x v="10"/>
    <s v="2011/01/20"/>
    <x v="5"/>
    <s v="인터넷전화 사용료 지출의 건-1월분"/>
    <m/>
    <s v="(주)몬티스타텔레콤"/>
    <m/>
    <n v="109370"/>
    <m/>
    <n v="109370"/>
  </r>
  <r>
    <x v="10"/>
    <s v="2011/01/25"/>
    <x v="5"/>
    <s v="전자팩스 사용료 지출의 건"/>
    <s v="10187"/>
    <s v="엑스퍼다이트(주)"/>
    <s v="120-81-64307"/>
    <n v="50600"/>
    <m/>
    <m/>
  </r>
  <r>
    <x v="10"/>
    <s v="2011/01/25"/>
    <x v="5"/>
    <s v="kt전화 사용료 지출의 건_x000a_"/>
    <m/>
    <s v="(주)케이티"/>
    <m/>
    <n v="212340"/>
    <m/>
    <n v="372310"/>
  </r>
  <r>
    <x v="10"/>
    <s v="2011/01/27"/>
    <x v="5"/>
    <s v="웹하드 사용료 지출의 건"/>
    <m/>
    <s v="LG U+"/>
    <m/>
    <n v="14150"/>
    <m/>
    <n v="386460"/>
  </r>
  <r>
    <x v="10"/>
    <s v="2011/02/17"/>
    <x v="0"/>
    <s v="(계좌간이체) (돌봄) 2월분 인터넷 및 kt전화요금"/>
    <m/>
    <m/>
    <m/>
    <n v="-281240"/>
    <m/>
    <n v="105220"/>
  </r>
  <r>
    <x v="10"/>
    <s v="2011/02/21"/>
    <x v="0"/>
    <s v="2월분 인터넷전화요금 지출의 건"/>
    <s v="10443"/>
    <s v="주식회사 케이티"/>
    <s v="102-81-42945"/>
    <n v="100870"/>
    <m/>
    <n v="206090"/>
  </r>
  <r>
    <x v="10"/>
    <s v="2011/02/22"/>
    <x v="0"/>
    <s v="전자팩스 사용료 지출의 건"/>
    <s v="10187"/>
    <s v="엑스퍼다이트(주)"/>
    <s v="120-81-64307"/>
    <n v="31460"/>
    <m/>
    <n v="237550"/>
  </r>
  <r>
    <x v="10"/>
    <s v="2011/02/25"/>
    <x v="0"/>
    <s v="2월분 kt전화사용료 지출의 건"/>
    <m/>
    <s v="케이티"/>
    <m/>
    <n v="180370"/>
    <m/>
    <n v="417920"/>
  </r>
  <r>
    <x v="10"/>
    <s v="2011/02/28"/>
    <x v="0"/>
    <s v="웹하드 사용료 지출의 건"/>
    <m/>
    <s v="LG U+"/>
    <m/>
    <n v="14150"/>
    <m/>
    <n v="432070"/>
  </r>
  <r>
    <x v="10"/>
    <s v="2011/03/17"/>
    <x v="6"/>
    <s v="(계좌간이체) (돌봄) 2월분 인터넷전화요금"/>
    <m/>
    <m/>
    <m/>
    <n v="-114500"/>
    <m/>
    <n v="317570"/>
  </r>
  <r>
    <x v="10"/>
    <s v="2011/03/21"/>
    <x v="6"/>
    <s v="(계좌간이체) (돌봄) 3월분 KT전화요금"/>
    <m/>
    <m/>
    <m/>
    <n v="-172760"/>
    <m/>
    <m/>
  </r>
  <r>
    <x v="10"/>
    <s v="2011/03/21"/>
    <x v="6"/>
    <s v="3월분 인터넷전화요금 지출의 건"/>
    <m/>
    <s v="(주)몬티스타텔레콤"/>
    <m/>
    <n v="114500"/>
    <m/>
    <n v="259310"/>
  </r>
  <r>
    <x v="10"/>
    <s v="2011/03/25"/>
    <x v="6"/>
    <s v="3월분 케이티전화요금 지출의 건"/>
    <s v="10443"/>
    <s v="주식회사 케이티"/>
    <s v="102-81-42945"/>
    <n v="172760"/>
    <m/>
    <n v="432070"/>
  </r>
  <r>
    <x v="10"/>
    <s v="2011/03/28"/>
    <x v="6"/>
    <s v="웹하드 사용료 지출의 건"/>
    <m/>
    <s v="LG U+"/>
    <m/>
    <n v="14150"/>
    <m/>
    <n v="446220"/>
  </r>
  <r>
    <x v="10"/>
    <s v="2011/04/22"/>
    <x v="7"/>
    <s v="(계좌간이체) (다문화직업창업출산) 4월분 웹하드 사용료"/>
    <m/>
    <m/>
    <m/>
    <n v="-14150"/>
    <m/>
    <m/>
  </r>
  <r>
    <x v="10"/>
    <s v="2011/04/22"/>
    <x v="7"/>
    <s v="(계좌간이체) (돌봄) 4월분 인터넷전화요금"/>
    <m/>
    <m/>
    <m/>
    <n v="-158150"/>
    <m/>
    <m/>
  </r>
  <r>
    <x v="10"/>
    <s v="2011/04/22"/>
    <x v="7"/>
    <s v="(계좌간이체) (돌봄) 4월분 KT전화요금"/>
    <m/>
    <m/>
    <m/>
    <n v="-177920"/>
    <m/>
    <m/>
  </r>
  <r>
    <x v="10"/>
    <s v="2011/04/22"/>
    <x v="7"/>
    <s v="4월분 인터넷전화요금 지출의 건"/>
    <m/>
    <s v="(주)몬티스타텔레콤"/>
    <m/>
    <n v="158150"/>
    <m/>
    <n v="254150"/>
  </r>
  <r>
    <x v="10"/>
    <s v="2011/04/25"/>
    <x v="7"/>
    <s v="4월분 케이티전화요금 지출의 건"/>
    <s v="10443"/>
    <s v="주식회사 케이티"/>
    <s v="102-81-42945"/>
    <n v="177920"/>
    <m/>
    <n v="432070"/>
  </r>
  <r>
    <x v="10"/>
    <s v="2011/04/27"/>
    <x v="7"/>
    <s v="4월분 웹하드 사용료 지출의 건"/>
    <m/>
    <s v="LG U+"/>
    <m/>
    <n v="14150"/>
    <m/>
    <n v="446220"/>
  </r>
  <r>
    <x v="10"/>
    <s v="2011/05/20"/>
    <x v="8"/>
    <s v="5월분 인터넷전화요금 지출의 건"/>
    <m/>
    <s v="(주)몬티스타텔레콤"/>
    <m/>
    <n v="162890"/>
    <m/>
    <n v="609110"/>
  </r>
  <r>
    <x v="10"/>
    <s v="2011/05/24"/>
    <x v="8"/>
    <s v="(계좌간이체) (돌봄) 5월분 인터넷전화요금"/>
    <m/>
    <m/>
    <m/>
    <n v="-162890"/>
    <m/>
    <m/>
  </r>
  <r>
    <x v="10"/>
    <s v="2011/05/24"/>
    <x v="8"/>
    <s v="(계좌간이체) (돌봄) 5월분 KT전화요금"/>
    <m/>
    <m/>
    <m/>
    <n v="-182600"/>
    <m/>
    <n v="263620"/>
  </r>
  <r>
    <x v="10"/>
    <s v="2011/05/25"/>
    <x v="8"/>
    <s v="5월분 케이티전화요금 지출의 건"/>
    <s v="10443"/>
    <s v="주식회사 케이티"/>
    <s v="102-81-42945"/>
    <n v="182600"/>
    <m/>
    <n v="446220"/>
  </r>
  <r>
    <x v="10"/>
    <s v="2011/05/27"/>
    <x v="8"/>
    <s v="웹하드 사용료 지출의 건"/>
    <m/>
    <s v="LG U+"/>
    <m/>
    <n v="14150"/>
    <m/>
    <n v="460370"/>
  </r>
  <r>
    <x v="10"/>
    <s v="2011/05/31"/>
    <x v="8"/>
    <s v="(계좌간이체) (돌봄) 5월분 웹하드사용료"/>
    <m/>
    <m/>
    <m/>
    <n v="-14150"/>
    <m/>
    <n v="446220"/>
  </r>
  <r>
    <x v="10"/>
    <s v="2011/06/16"/>
    <x v="1"/>
    <s v="인터넷전화요금"/>
    <s v="90055"/>
    <s v="농협운영비"/>
    <m/>
    <n v="132010"/>
    <m/>
    <n v="578230"/>
  </r>
  <r>
    <x v="10"/>
    <s v="2011/06/17"/>
    <x v="1"/>
    <s v="(계좌간이체) (아모레시설개선사업) 6월분 KT전화요금"/>
    <m/>
    <m/>
    <m/>
    <n v="-192460"/>
    <m/>
    <m/>
  </r>
  <r>
    <x v="10"/>
    <s v="2011/06/17"/>
    <x v="1"/>
    <s v="(계좌간이체) (아모레시설개선사업) 6월분 웹하드사용료"/>
    <m/>
    <m/>
    <m/>
    <n v="-14150"/>
    <m/>
    <n v="371620"/>
  </r>
  <r>
    <x v="10"/>
    <s v="2011/06/21"/>
    <x v="1"/>
    <s v="(계좌간이체) (11아모레시설개선) 6월분 인터넷전화요금"/>
    <m/>
    <m/>
    <m/>
    <n v="-132010"/>
    <m/>
    <n v="239610"/>
  </r>
  <r>
    <x v="10"/>
    <s v="2011/06/27"/>
    <x v="1"/>
    <s v="웹하드 사용료 지출의 건"/>
    <m/>
    <s v="LG U+"/>
    <m/>
    <n v="14150"/>
    <m/>
    <m/>
  </r>
  <r>
    <x v="10"/>
    <s v="2011/06/27"/>
    <x v="1"/>
    <s v="6월분 케이티전화요금 지출의 건"/>
    <s v="10443"/>
    <s v="주식회사 케이티"/>
    <s v="102-81-42945"/>
    <n v="192460"/>
    <m/>
    <n v="446220"/>
  </r>
  <r>
    <x v="10"/>
    <s v="2011/07/19"/>
    <x v="9"/>
    <s v="(계좌간이체) (11신생아케어서비스) 7월분 KT전화요금"/>
    <m/>
    <m/>
    <m/>
    <n v="-182470"/>
    <m/>
    <m/>
  </r>
  <r>
    <x v="10"/>
    <s v="2011/07/19"/>
    <x v="9"/>
    <s v="(계좌간이체) (11신생아케어서비스) 7월분 웹하드사용료"/>
    <m/>
    <m/>
    <m/>
    <n v="-14150"/>
    <m/>
    <n v="249600"/>
  </r>
  <r>
    <x v="10"/>
    <s v="2011/07/20"/>
    <x v="9"/>
    <s v="인터넷 전화 사용료 지출의 건"/>
    <m/>
    <s v="몬티스타텔레콤"/>
    <m/>
    <n v="111410"/>
    <m/>
    <n v="361010"/>
  </r>
  <r>
    <x v="10"/>
    <s v="2011/07/21"/>
    <x v="9"/>
    <s v="(계좌간이체) (11신생아케어서비스) 7월분 인터넷전화사용료"/>
    <m/>
    <m/>
    <m/>
    <n v="-111410"/>
    <m/>
    <n v="249600"/>
  </r>
  <r>
    <x v="10"/>
    <s v="2011/07/25"/>
    <x v="9"/>
    <s v="7월분 KT전화요금 지출의 건"/>
    <s v="10443"/>
    <s v="주식회사 케이티"/>
    <s v="102-81-42945"/>
    <n v="182470"/>
    <m/>
    <n v="432070"/>
  </r>
  <r>
    <x v="10"/>
    <s v="2011/07/27"/>
    <x v="9"/>
    <s v="웹하드 사용료 지출의 건"/>
    <m/>
    <s v="LG U+"/>
    <m/>
    <n v="14150"/>
    <m/>
    <n v="446220"/>
  </r>
  <r>
    <x v="10"/>
    <s v="2011/08/17"/>
    <x v="10"/>
    <s v="(계좌간이체) (11신생아케어서비스) 8월분 웹하드사용료"/>
    <m/>
    <m/>
    <m/>
    <n v="-14150"/>
    <m/>
    <n v="432070"/>
  </r>
  <r>
    <x v="10"/>
    <s v="2011/08/22"/>
    <x v="10"/>
    <s v="(계좌간이체) (11날자) 8월분 KT전화요금"/>
    <m/>
    <m/>
    <m/>
    <n v="-170200"/>
    <m/>
    <m/>
  </r>
  <r>
    <x v="10"/>
    <s v="2011/08/22"/>
    <x v="10"/>
    <s v="인터넷전화 사용료 지출의 건"/>
    <m/>
    <s v="(주)몬티스타텔레콤"/>
    <m/>
    <n v="181540"/>
    <m/>
    <n v="443410"/>
  </r>
  <r>
    <x v="10"/>
    <s v="2011/08/25"/>
    <x v="10"/>
    <s v="8월분 KT전화요금 지출의 건"/>
    <s v="10443"/>
    <s v="주식회사 케이티"/>
    <s v="102-81-42945"/>
    <n v="170200"/>
    <m/>
    <n v="613610"/>
  </r>
  <r>
    <x v="10"/>
    <s v="2011/08/29"/>
    <x v="10"/>
    <s v="웹하드 사용료 지출의 건"/>
    <m/>
    <s v="LG U+"/>
    <m/>
    <n v="14150"/>
    <m/>
    <n v="627760"/>
  </r>
  <r>
    <x v="10"/>
    <s v="2011/09/06"/>
    <x v="2"/>
    <s v="11신생아사업 사업비반환금 관련의 건"/>
    <m/>
    <m/>
    <m/>
    <n v="182470"/>
    <m/>
    <m/>
  </r>
  <r>
    <x v="10"/>
    <s v="2011/09/06"/>
    <x v="2"/>
    <s v="11신생아사업 사업비반환금 관련의 건"/>
    <m/>
    <m/>
    <m/>
    <n v="111410"/>
    <m/>
    <n v="921640"/>
  </r>
  <r>
    <x v="10"/>
    <s v="2011/09/16"/>
    <x v="2"/>
    <s v="전자팩스 사용료 지출의 건"/>
    <s v="10187"/>
    <s v="엑스퍼다이트(주)"/>
    <s v="120-81-64307"/>
    <n v="29700"/>
    <m/>
    <n v="951340"/>
  </r>
  <r>
    <x v="10"/>
    <s v="2011/09/20"/>
    <x v="2"/>
    <s v="인터넷전화 사용료 지출의 건"/>
    <m/>
    <s v="(주)몬티스타텔레콤"/>
    <m/>
    <n v="112130"/>
    <m/>
    <n v="1063470"/>
  </r>
  <r>
    <x v="10"/>
    <s v="2011/09/26"/>
    <x v="2"/>
    <s v="9월분 KT전화요금 지출의 건"/>
    <s v="10443"/>
    <s v="주식회사 케이티"/>
    <s v="102-81-42945"/>
    <n v="173420"/>
    <m/>
    <n v="1236890"/>
  </r>
  <r>
    <x v="10"/>
    <s v="2011/09/27"/>
    <x v="2"/>
    <s v="웹하드 사용료 지출의 건_x000a_"/>
    <m/>
    <s v="LG U+"/>
    <m/>
    <n v="14150"/>
    <m/>
    <n v="1251040"/>
  </r>
  <r>
    <x v="10"/>
    <s v="2011/10/05"/>
    <x v="11"/>
    <s v="(계좌간이체) (11날자) 9월분 KT전화요금"/>
    <m/>
    <m/>
    <m/>
    <n v="-173420"/>
    <m/>
    <n v="1077620"/>
  </r>
  <r>
    <x v="10"/>
    <s v="2011/10/20"/>
    <x v="11"/>
    <s v="(계좌간이체) (BB희망날개) 10월분 KT전화요금"/>
    <m/>
    <m/>
    <m/>
    <n v="-172470"/>
    <m/>
    <m/>
  </r>
  <r>
    <x v="10"/>
    <s v="2011/10/20"/>
    <x v="11"/>
    <s v="2011년 10월 인터넷전화 사용료 지출의 건"/>
    <m/>
    <s v="(주)몬티스타텔레콤"/>
    <m/>
    <n v="152130"/>
    <m/>
    <n v="1057280"/>
  </r>
  <r>
    <x v="10"/>
    <s v="2011/10/25"/>
    <x v="11"/>
    <s v="10월분 케이티요금 지출"/>
    <s v="10443"/>
    <s v="주식회사 케이티"/>
    <s v="102-81-42945"/>
    <n v="172470"/>
    <m/>
    <n v="1229750"/>
  </r>
  <r>
    <x v="10"/>
    <s v="2011/10/27"/>
    <x v="11"/>
    <s v="웹하드 사용료 지출의 건_x000a_"/>
    <m/>
    <s v="LG U+"/>
    <m/>
    <n v="14150"/>
    <m/>
    <n v="1243900"/>
  </r>
  <r>
    <x v="10"/>
    <s v="2011/11/15"/>
    <x v="3"/>
    <s v="전자팩스 사용료 지출의 건"/>
    <s v="10187"/>
    <s v="엑스퍼다이트(주)"/>
    <s v="120-81-64307"/>
    <n v="134750"/>
    <m/>
    <n v="1378650"/>
  </r>
  <r>
    <x v="10"/>
    <s v="2011/11/21"/>
    <x v="3"/>
    <s v="(계좌간이체) (BB희망날개) 11월분 KT전화요금"/>
    <m/>
    <m/>
    <m/>
    <n v="-169650"/>
    <m/>
    <m/>
  </r>
  <r>
    <x v="10"/>
    <s v="2011/11/21"/>
    <x v="3"/>
    <s v="2011년 11월 인터넷전화 사용료 지출의 건"/>
    <m/>
    <s v="(주)몬티스타텔레콤"/>
    <m/>
    <n v="110810"/>
    <m/>
    <n v="1319810"/>
  </r>
  <r>
    <x v="10"/>
    <s v="2011/11/25"/>
    <x v="3"/>
    <s v="2011년 11월 kt전화 사용료 지출의 건"/>
    <m/>
    <s v="케이티"/>
    <m/>
    <n v="169650"/>
    <m/>
    <n v="1489460"/>
  </r>
  <r>
    <x v="10"/>
    <s v="2011/11/28"/>
    <x v="3"/>
    <s v="웹하드 사용료 지출의 건_x000a_"/>
    <m/>
    <s v="LG U+"/>
    <m/>
    <n v="14150"/>
    <m/>
    <n v="1503610"/>
  </r>
  <r>
    <x v="10"/>
    <s v="2011/12/13"/>
    <x v="4"/>
    <s v="전자팩스 사용료 지출의 건"/>
    <s v="10187"/>
    <s v="엑스퍼다이트(주)"/>
    <s v="120-81-64307"/>
    <n v="218240"/>
    <m/>
    <n v="1721850"/>
  </r>
  <r>
    <x v="10"/>
    <s v="2011/12/20"/>
    <x v="4"/>
    <s v="2011년 12 인터넷전화 사용료 지출의 건"/>
    <m/>
    <s v="(주)몬티스타텔레콤"/>
    <m/>
    <n v="157630"/>
    <m/>
    <n v="1879480"/>
  </r>
  <r>
    <x v="10"/>
    <s v="2011/12/26"/>
    <x v="4"/>
    <s v="2011년 12월 kt전화 사용료 지출의 건"/>
    <s v="10366"/>
    <s v="(주)케이티"/>
    <s v="102-81-42945"/>
    <n v="176170"/>
    <m/>
    <n v="2055650"/>
  </r>
  <r>
    <x v="10"/>
    <s v="2011/12/27"/>
    <x v="4"/>
    <s v="웹하드 사용료 지출의 건_x000a_"/>
    <m/>
    <s v="LG U+"/>
    <m/>
    <n v="14150"/>
    <m/>
    <n v="2069800"/>
  </r>
  <r>
    <x v="11"/>
    <s v="2011/01/19"/>
    <x v="5"/>
    <s v="운반비 정산의 건"/>
    <s v="10444"/>
    <s v="태평양종합상조"/>
    <s v="212-81-75990"/>
    <n v="28000"/>
    <m/>
    <m/>
  </r>
  <r>
    <x v="11"/>
    <s v="2011/01/19"/>
    <x v="5"/>
    <s v="운반비 정산의 건"/>
    <s v="10444"/>
    <s v="태평양종합상조"/>
    <s v="212-81-75990"/>
    <n v="20000"/>
    <m/>
    <m/>
  </r>
  <r>
    <x v="11"/>
    <s v="2011/01/19"/>
    <x v="5"/>
    <s v="운반비 정산의 건"/>
    <m/>
    <s v="퀵짱서비스"/>
    <m/>
    <n v="15000"/>
    <m/>
    <m/>
  </r>
  <r>
    <x v="11"/>
    <s v="2011/01/19"/>
    <x v="5"/>
    <s v="인터넷전화 헤드셋 구입비 정산의 건"/>
    <m/>
    <s v="신한로직스"/>
    <m/>
    <n v="10000"/>
    <m/>
    <n v="73000"/>
  </r>
  <r>
    <x v="11"/>
    <s v="2011/01/31"/>
    <x v="5"/>
    <s v="우편발송비 지출의 건"/>
    <s v="10299"/>
    <s v="서울성산동 우체국"/>
    <s v="101-83-02925"/>
    <n v="1930"/>
    <m/>
    <n v="74930"/>
  </r>
  <r>
    <x v="11"/>
    <s v="2011/02/09"/>
    <x v="0"/>
    <s v="발송비 정산의 건"/>
    <m/>
    <s v="우체국"/>
    <m/>
    <n v="4100"/>
    <m/>
    <n v="79030"/>
  </r>
  <r>
    <x v="11"/>
    <s v="2011/02/15"/>
    <x v="0"/>
    <s v="근조기발송비 정산의 건"/>
    <s v="10444"/>
    <s v="태평양종합상조"/>
    <s v="212-81-75990"/>
    <n v="38000"/>
    <m/>
    <m/>
  </r>
  <r>
    <x v="11"/>
    <s v="2011/02/15"/>
    <x v="0"/>
    <s v="우편물 발송비 지출의 건"/>
    <s v="10299"/>
    <s v="서울성산동 우체국"/>
    <s v="101-83-02925"/>
    <n v="25360"/>
    <m/>
    <m/>
  </r>
  <r>
    <x v="11"/>
    <s v="2011/02/15"/>
    <x v="0"/>
    <s v="명함배송비 정산의 건"/>
    <m/>
    <s v="옐로우캡"/>
    <m/>
    <n v="2500"/>
    <m/>
    <n v="144890"/>
  </r>
  <r>
    <x v="11"/>
    <s v="2011/02/18"/>
    <x v="0"/>
    <s v="내부회계감사보고서 발송"/>
    <m/>
    <s v="글로벌네트웍스"/>
    <m/>
    <n v="14000"/>
    <m/>
    <n v="158890"/>
  </r>
  <r>
    <x v="11"/>
    <s v="2011/02/24"/>
    <x v="0"/>
    <s v="재단 이사회관련비용 정산의 건"/>
    <m/>
    <s v="대명 퀵서비스"/>
    <m/>
    <n v="16000"/>
    <m/>
    <n v="174890"/>
  </r>
  <r>
    <x v="11"/>
    <s v="2011/02/28"/>
    <x v="0"/>
    <s v="발송비 정산의 건"/>
    <m/>
    <s v="퀵오케이서비스"/>
    <m/>
    <n v="14000"/>
    <m/>
    <m/>
  </r>
  <r>
    <x v="11"/>
    <s v="2011/02/28"/>
    <x v="0"/>
    <s v="발송비 정산의 건"/>
    <m/>
    <s v="퀵울림서비스"/>
    <m/>
    <n v="12000"/>
    <m/>
    <n v="200890"/>
  </r>
  <r>
    <x v="11"/>
    <s v="2011/03/03"/>
    <x v="6"/>
    <s v="운송료 정산의 건"/>
    <m/>
    <s v="스페이스퀵"/>
    <m/>
    <n v="10000"/>
    <m/>
    <n v="210890"/>
  </r>
  <r>
    <x v="11"/>
    <s v="2011/03/04"/>
    <x v="6"/>
    <s v="여성재단 이사 취임서류 발송비"/>
    <m/>
    <s v="퀵뉴스서비스"/>
    <m/>
    <n v="10000"/>
    <m/>
    <n v="220890"/>
  </r>
  <r>
    <x v="11"/>
    <s v="2011/03/09"/>
    <x v="6"/>
    <s v="정관개정관련 서류 퀵 발송"/>
    <m/>
    <s v="하이퀵서비스"/>
    <m/>
    <n v="10000"/>
    <m/>
    <n v="230890"/>
  </r>
  <r>
    <x v="11"/>
    <s v="2011/03/11"/>
    <x v="6"/>
    <s v="운송비 정산의 건"/>
    <m/>
    <s v="퀵짱"/>
    <m/>
    <n v="14000"/>
    <m/>
    <n v="244890"/>
  </r>
  <r>
    <x v="11"/>
    <s v="2011/03/16"/>
    <x v="6"/>
    <s v="우편물 퀵서비스 발송비 지출의 건"/>
    <m/>
    <s v="라인퀵"/>
    <m/>
    <n v="15000"/>
    <m/>
    <n v="259890"/>
  </r>
  <r>
    <x v="11"/>
    <s v="2011/03/22"/>
    <x v="6"/>
    <s v="명함운송비 정산의 건"/>
    <m/>
    <s v="파랑새 퀵"/>
    <m/>
    <n v="10000"/>
    <m/>
    <n v="269890"/>
  </r>
  <r>
    <x v="11"/>
    <s v="2011/03/24"/>
    <x v="6"/>
    <s v="우편발송비 정산의 건"/>
    <m/>
    <s v="우체국"/>
    <m/>
    <n v="2170"/>
    <m/>
    <n v="272060"/>
  </r>
  <r>
    <x v="11"/>
    <s v="2011/03/25"/>
    <x v="6"/>
    <s v="우편발송비 정산의 건"/>
    <m/>
    <s v="우체국"/>
    <m/>
    <n v="2170"/>
    <m/>
    <n v="274230"/>
  </r>
  <r>
    <x v="11"/>
    <s v="2011/04/14"/>
    <x v="7"/>
    <s v="우편물 퀵서비스 발송비 지출의 건"/>
    <m/>
    <s v="서울성산동우체국"/>
    <m/>
    <n v="1840"/>
    <m/>
    <n v="276070"/>
  </r>
  <r>
    <x v="11"/>
    <s v="2011/04/29"/>
    <x v="7"/>
    <s v="명함 운송비 정산의 건"/>
    <m/>
    <s v="옐로우캡"/>
    <m/>
    <n v="2500"/>
    <m/>
    <n v="278570"/>
  </r>
  <r>
    <x v="11"/>
    <s v="2011/05/09"/>
    <x v="8"/>
    <s v="축전발송비 정산의 건"/>
    <m/>
    <s v="우체국"/>
    <m/>
    <n v="7000"/>
    <m/>
    <n v="285570"/>
  </r>
  <r>
    <x v="11"/>
    <s v="2011/05/20"/>
    <x v="8"/>
    <s v="근조기발송비 정산의 건"/>
    <s v="10444"/>
    <s v="태평양종합상조"/>
    <s v="212-81-75990"/>
    <n v="24000"/>
    <m/>
    <m/>
  </r>
  <r>
    <x v="11"/>
    <s v="2011/05/20"/>
    <x v="8"/>
    <s v="근조기발송비 정산의 건"/>
    <s v="10444"/>
    <s v="태평양종합상조"/>
    <s v="212-81-75990"/>
    <n v="24000"/>
    <m/>
    <m/>
  </r>
  <r>
    <x v="11"/>
    <s v="2011/05/20"/>
    <x v="8"/>
    <s v="근조기발송비 정산의 건"/>
    <s v="10444"/>
    <s v="태평양종합상조"/>
    <s v="212-81-75990"/>
    <n v="25000"/>
    <m/>
    <m/>
  </r>
  <r>
    <x v="11"/>
    <s v="2011/05/20"/>
    <x v="8"/>
    <s v="우편물 발송비 지출의 건"/>
    <s v="10299"/>
    <s v="서울성산동 우체국"/>
    <s v="101-83-02925"/>
    <n v="1930"/>
    <m/>
    <n v="360500"/>
  </r>
  <r>
    <x v="11"/>
    <s v="2011/05/31"/>
    <x v="8"/>
    <s v="근조카드발송비 정산의 건"/>
    <m/>
    <s v="우체국"/>
    <m/>
    <n v="4000"/>
    <m/>
    <n v="364500"/>
  </r>
  <r>
    <x v="11"/>
    <s v="2011/06/03"/>
    <x v="1"/>
    <s v="우편물 발송비 지출의 건"/>
    <s v="10299"/>
    <s v="서울성산동 우체국"/>
    <s v="101-83-02925"/>
    <n v="1840"/>
    <m/>
    <n v="366340"/>
  </r>
  <r>
    <x v="11"/>
    <s v="2011/06/15"/>
    <x v="1"/>
    <s v="우편물 발송비 지출의 건"/>
    <s v="10299"/>
    <s v="서울성산동 우체국"/>
    <s v="101-83-02925"/>
    <n v="3010"/>
    <m/>
    <n v="369350"/>
  </r>
  <r>
    <x v="11"/>
    <s v="2011/06/27"/>
    <x v="1"/>
    <s v="축전발송비 정산의 건"/>
    <m/>
    <s v="우체국"/>
    <m/>
    <n v="3000"/>
    <m/>
    <n v="372350"/>
  </r>
  <r>
    <x v="11"/>
    <s v="2011/07/04"/>
    <x v="9"/>
    <s v="비추미여성대상(특별상)추천 서류 발송비 지출의건 "/>
    <m/>
    <s v="글로벌네트웍스"/>
    <m/>
    <n v="10000"/>
    <m/>
    <n v="382350"/>
  </r>
  <r>
    <x v="11"/>
    <s v="2011/07/11"/>
    <x v="9"/>
    <s v="업무자료 퀵서비스비 지출의 건"/>
    <m/>
    <s v="허리케인"/>
    <m/>
    <n v="9000"/>
    <m/>
    <n v="391350"/>
  </r>
  <r>
    <x v="11"/>
    <s v="2011/07/12"/>
    <x v="9"/>
    <s v="직원명함 운송비 정산의 건"/>
    <m/>
    <s v="옐로우캡"/>
    <m/>
    <n v="2500"/>
    <m/>
    <n v="393850"/>
  </r>
  <r>
    <x v="11"/>
    <s v="2011/07/21"/>
    <x v="9"/>
    <s v="직원명함 운송비 지출의 건"/>
    <m/>
    <s v="옐로우캡"/>
    <m/>
    <n v="2500"/>
    <m/>
    <n v="396350"/>
  </r>
  <r>
    <x v="11"/>
    <s v="2011/07/25"/>
    <x v="9"/>
    <s v="우편물 발송비 지출의 건"/>
    <s v="10299"/>
    <s v="서울성산동 우체국"/>
    <s v="101-83-02925"/>
    <n v="1930"/>
    <m/>
    <n v="398280"/>
  </r>
  <r>
    <x v="11"/>
    <s v="2011/08/19"/>
    <x v="10"/>
    <s v="우편물 발송비 지출의 건"/>
    <s v="10299"/>
    <s v="서울성산동 우체국"/>
    <s v="101-83-02925"/>
    <n v="1840"/>
    <m/>
    <n v="400120"/>
  </r>
  <r>
    <x v="11"/>
    <s v="2011/09/01"/>
    <x v="2"/>
    <s v="직원명함 운송비 지출의 건"/>
    <m/>
    <s v="콜택시콜밴"/>
    <m/>
    <n v="2500"/>
    <m/>
    <n v="402620"/>
  </r>
  <r>
    <x v="11"/>
    <s v="2011/09/05"/>
    <x v="2"/>
    <s v="축전발송비 지출의 건"/>
    <m/>
    <s v="우체국"/>
    <m/>
    <n v="3000"/>
    <m/>
    <n v="405620"/>
  </r>
  <r>
    <x v="11"/>
    <s v="2011/09/09"/>
    <x v="2"/>
    <s v="직원명함 운송비 지출의 건"/>
    <m/>
    <s v="옐로우캡"/>
    <m/>
    <n v="3000"/>
    <m/>
    <n v="408620"/>
  </r>
  <r>
    <x v="11"/>
    <s v="2011/09/22"/>
    <x v="2"/>
    <s v="축전발송비 지출의 건"/>
    <m/>
    <s v="우체국"/>
    <m/>
    <n v="3500"/>
    <m/>
    <m/>
  </r>
  <r>
    <x v="11"/>
    <s v="2011/09/22"/>
    <x v="2"/>
    <s v="업무자료 퀵서비스비 지출의 건"/>
    <m/>
    <s v="우리퀵서비스"/>
    <m/>
    <n v="10000"/>
    <m/>
    <n v="422120"/>
  </r>
  <r>
    <x v="11"/>
    <s v="2011/09/28"/>
    <x v="2"/>
    <s v="업무관련 등기우편 발송의 건"/>
    <s v="10299"/>
    <s v="서울성산동 우체국"/>
    <s v="101-83-02925"/>
    <n v="3770"/>
    <m/>
    <n v="425890"/>
  </r>
  <r>
    <x v="11"/>
    <s v="2011/10/10"/>
    <x v="11"/>
    <s v="축전발송비 지출의 건"/>
    <m/>
    <s v="우체국"/>
    <m/>
    <n v="2700"/>
    <m/>
    <m/>
  </r>
  <r>
    <x v="11"/>
    <s v="2011/10/10"/>
    <x v="11"/>
    <s v="축전발송비 지출의 건"/>
    <m/>
    <s v="우체국"/>
    <m/>
    <n v="2700"/>
    <m/>
    <n v="431290"/>
  </r>
  <r>
    <x v="11"/>
    <s v="2011/10/18"/>
    <x v="11"/>
    <s v="축전발송비 지출의 건"/>
    <m/>
    <s v="우체국"/>
    <m/>
    <n v="3000"/>
    <m/>
    <m/>
  </r>
  <r>
    <x v="11"/>
    <s v="2011/10/18"/>
    <x v="11"/>
    <s v="근조기발송비 지출의 건"/>
    <s v="10444"/>
    <s v="태평양종합상조"/>
    <s v="212-81-75990"/>
    <n v="19000"/>
    <m/>
    <m/>
  </r>
  <r>
    <x v="11"/>
    <s v="2011/10/18"/>
    <x v="11"/>
    <s v="근조기발송비 지출의 건"/>
    <s v="10444"/>
    <s v="태평양종합상조"/>
    <s v="212-81-75990"/>
    <n v="19000"/>
    <m/>
    <m/>
  </r>
  <r>
    <x v="11"/>
    <s v="2011/10/18"/>
    <x v="11"/>
    <s v="근조기발송비 지출의 건"/>
    <s v="10444"/>
    <s v="태평양종합상조"/>
    <s v="212-81-75990"/>
    <n v="24000"/>
    <m/>
    <m/>
  </r>
  <r>
    <x v="11"/>
    <s v="2011/10/18"/>
    <x v="11"/>
    <s v="근조기발송비 지출의 건"/>
    <s v="10444"/>
    <s v="태평양종합상조"/>
    <s v="212-81-75990"/>
    <n v="24000"/>
    <m/>
    <n v="520290"/>
  </r>
  <r>
    <x v="11"/>
    <s v="2011/10/24"/>
    <x v="11"/>
    <s v="우편물 발송비 지출의 건"/>
    <s v="10299"/>
    <s v="서울성산동 우체국"/>
    <s v="101-83-02925"/>
    <n v="1860"/>
    <m/>
    <n v="522150"/>
  </r>
  <r>
    <x v="11"/>
    <s v="2011/11/02"/>
    <x v="3"/>
    <s v="직원명함 발송비 지출의 건"/>
    <m/>
    <s v="옐로우캡"/>
    <m/>
    <n v="2500"/>
    <m/>
    <n v="524650"/>
  </r>
  <r>
    <x v="11"/>
    <s v="2011/11/04"/>
    <x v="3"/>
    <s v="우편물 발송비 지출의 건"/>
    <s v="10299"/>
    <s v="서울성산동 우체국"/>
    <s v="101-83-02925"/>
    <n v="1860"/>
    <m/>
    <m/>
  </r>
  <r>
    <x v="11"/>
    <s v="2011/11/04"/>
    <x v="3"/>
    <s v="우편물 발송비 지출의 건"/>
    <s v="10299"/>
    <s v="서울성산동 우체국"/>
    <s v="101-83-02925"/>
    <n v="540"/>
    <m/>
    <n v="527050"/>
  </r>
  <r>
    <x v="11"/>
    <s v="2011/11/14"/>
    <x v="3"/>
    <s v="서류 발송비 지출의건"/>
    <m/>
    <s v="슈퍼맨퀵서비스"/>
    <m/>
    <n v="12000"/>
    <m/>
    <n v="539050"/>
  </r>
  <r>
    <x v="11"/>
    <s v="2011/11/25"/>
    <x v="3"/>
    <s v="축전발송비 지출의 건"/>
    <m/>
    <s v="우체국"/>
    <m/>
    <n v="3500"/>
    <m/>
    <n v="542550"/>
  </r>
  <r>
    <x v="11"/>
    <s v="2011/12/05"/>
    <x v="4"/>
    <s v="우편물 발송비 지출의 건"/>
    <m/>
    <s v="우체국"/>
    <m/>
    <n v="1860"/>
    <m/>
    <n v="544410"/>
  </r>
  <r>
    <x v="11"/>
    <s v="2011/12/07"/>
    <x v="4"/>
    <s v="서류 운송비 지출의 건"/>
    <m/>
    <s v="슈퍼맨 퀵서비스"/>
    <m/>
    <n v="10000"/>
    <m/>
    <n v="554410"/>
  </r>
  <r>
    <x v="11"/>
    <s v="2011/12/13"/>
    <x v="4"/>
    <s v="임원 연임 관련 서류 운송비 지출의 건"/>
    <m/>
    <s v="에이플러스퀵"/>
    <m/>
    <n v="15000"/>
    <m/>
    <m/>
  </r>
  <r>
    <x v="11"/>
    <s v="2011/12/13"/>
    <x v="4"/>
    <s v="임원 연임 관련 서류 운송비 지출의 건"/>
    <m/>
    <s v="에이플러스퀵"/>
    <m/>
    <n v="18000"/>
    <m/>
    <n v="587410"/>
  </r>
  <r>
    <x v="11"/>
    <s v="2011/12/20"/>
    <x v="4"/>
    <s v="우편물 발송비 지출의 건"/>
    <s v="10299"/>
    <s v="서울성산동 우체국"/>
    <s v="101-83-02925"/>
    <n v="1950"/>
    <m/>
    <n v="589360"/>
  </r>
  <r>
    <x v="11"/>
    <s v="2011/12/28"/>
    <x v="4"/>
    <s v="등기우편 반송료 지출의 건"/>
    <m/>
    <s v="서울마포우체국"/>
    <m/>
    <n v="1500"/>
    <m/>
    <n v="590860"/>
  </r>
  <r>
    <x v="12"/>
    <s v="2011/01/06"/>
    <x v="5"/>
    <s v="CMS입금-12/6자"/>
    <s v="90026"/>
    <s v="농협CMS기부"/>
    <m/>
    <n v="31740"/>
    <m/>
    <n v="31740"/>
  </r>
  <r>
    <x v="12"/>
    <s v="2011/01/10"/>
    <x v="5"/>
    <s v="kcp 신용카드 수수료"/>
    <s v="90016"/>
    <s v="국민기부금"/>
    <m/>
    <n v="2667"/>
    <m/>
    <m/>
  </r>
  <r>
    <x v="12"/>
    <s v="2011/01/10"/>
    <x v="5"/>
    <s v="kcp 신용카드 입금"/>
    <s v="90016"/>
    <s v="국민기부금"/>
    <m/>
    <n v="748"/>
    <m/>
    <m/>
  </r>
  <r>
    <x v="12"/>
    <s v="2011/01/10"/>
    <x v="5"/>
    <s v="1월분 웅진코웨이 정수기 렌탈비 지출의 건"/>
    <s v="10429"/>
    <s v="웅진코웨이(주)"/>
    <s v="307-81-06054"/>
    <n v="16800"/>
    <m/>
    <n v="51955"/>
  </r>
  <r>
    <x v="12"/>
    <s v="2011/01/14"/>
    <x v="5"/>
    <s v="CMS입금-1/14자"/>
    <s v="90026"/>
    <s v="농협CMS기부"/>
    <m/>
    <n v="22360"/>
    <m/>
    <n v="74315"/>
  </r>
  <r>
    <x v="12"/>
    <s v="2011/01/17"/>
    <x v="5"/>
    <s v="예금잔액증명서 발급 수수료 "/>
    <m/>
    <s v="신한은행"/>
    <m/>
    <n v="6000"/>
    <m/>
    <m/>
  </r>
  <r>
    <x v="12"/>
    <s v="2011/01/17"/>
    <x v="5"/>
    <s v="금융결제원 cms정보이용료 지출의 건_x000a__x000a_"/>
    <s v="10323"/>
    <s v="사단법인 금융결제원"/>
    <s v="129-82-08745"/>
    <n v="66000"/>
    <m/>
    <n v="146315"/>
  </r>
  <r>
    <x v="12"/>
    <s v="2011/01/18"/>
    <x v="5"/>
    <s v="예금잔액증명서 발급 수수료 "/>
    <m/>
    <s v="우리은행"/>
    <m/>
    <n v="2000"/>
    <m/>
    <m/>
  </r>
  <r>
    <x v="12"/>
    <s v="2011/01/18"/>
    <x v="5"/>
    <s v="예금잔액증명서 발급 수수료 "/>
    <m/>
    <s v="제일은행"/>
    <m/>
    <n v="4000"/>
    <m/>
    <m/>
  </r>
  <r>
    <x v="12"/>
    <s v="2011/01/18"/>
    <x v="5"/>
    <s v="예금잔액증명서 발급 수수료 "/>
    <m/>
    <s v="국민은행"/>
    <m/>
    <n v="2000"/>
    <m/>
    <m/>
  </r>
  <r>
    <x v="12"/>
    <s v="2011/01/18"/>
    <x v="5"/>
    <s v="예금잔액증명서 발급 수수료 "/>
    <m/>
    <s v="하나은행"/>
    <m/>
    <n v="2000"/>
    <m/>
    <m/>
  </r>
  <r>
    <x v="12"/>
    <s v="2011/01/18"/>
    <x v="5"/>
    <s v="CMS입금-1/18자"/>
    <s v="90026"/>
    <s v="농협CMS기부"/>
    <m/>
    <n v="7520"/>
    <m/>
    <m/>
  </r>
  <r>
    <x v="12"/>
    <s v="2011/01/18"/>
    <x v="5"/>
    <s v="인감븡명서 15부, 등기부등본 10부 발급수수료"/>
    <m/>
    <s v="북부등기소"/>
    <m/>
    <n v="24000"/>
    <m/>
    <n v="187835"/>
  </r>
  <r>
    <x v="12"/>
    <s v="2011/01/20"/>
    <x v="5"/>
    <s v="회계감사용 통장 잔액증명서 발급수수료"/>
    <m/>
    <s v="우체국"/>
    <m/>
    <n v="2000"/>
    <m/>
    <m/>
  </r>
  <r>
    <x v="12"/>
    <s v="2011/01/20"/>
    <x v="5"/>
    <s v="회계감사용 통장 잔액증명서 발급수수료"/>
    <m/>
    <s v="외환은행"/>
    <m/>
    <n v="2000"/>
    <m/>
    <m/>
  </r>
  <r>
    <x v="12"/>
    <s v="2011/01/20"/>
    <x v="5"/>
    <s v="회계감사용 통장 잔액증명서 발급수수료"/>
    <m/>
    <s v="기업은행"/>
    <m/>
    <n v="2000"/>
    <m/>
    <n v="193835"/>
  </r>
  <r>
    <x v="12"/>
    <s v="2011/01/21"/>
    <x v="5"/>
    <s v="재단건물 캡스(보안경비)용역비"/>
    <s v="10051"/>
    <s v="(주)에이디티캡스서부"/>
    <s v="110-85-06588"/>
    <n v="451000"/>
    <m/>
    <m/>
  </r>
  <r>
    <x v="12"/>
    <s v="2011/01/21"/>
    <x v="5"/>
    <s v="캐쉬sos사업 cms수수료-1/5일분"/>
    <m/>
    <m/>
    <m/>
    <n v="-26260"/>
    <m/>
    <n v="618575"/>
  </r>
  <r>
    <x v="12"/>
    <s v="2011/01/24"/>
    <x v="5"/>
    <s v="케이씨피-신용카드"/>
    <s v="90016"/>
    <s v="국민기부금"/>
    <m/>
    <n v="374"/>
    <m/>
    <m/>
  </r>
  <r>
    <x v="12"/>
    <s v="2011/01/24"/>
    <x v="5"/>
    <s v="CMS입금"/>
    <s v="90026"/>
    <s v="농협CMS기부"/>
    <m/>
    <n v="1440"/>
    <m/>
    <n v="620389"/>
  </r>
  <r>
    <x v="12"/>
    <s v="2011/01/26"/>
    <x v="5"/>
    <s v="CMS입금"/>
    <s v="90026"/>
    <s v="농협CMS기부"/>
    <m/>
    <n v="216760"/>
    <m/>
    <n v="837149"/>
  </r>
  <r>
    <x v="12"/>
    <s v="2011/01/31"/>
    <x v="5"/>
    <s v="1월25일자 캐쉬cms수수료 이체"/>
    <m/>
    <m/>
    <m/>
    <n v="-16040"/>
    <m/>
    <m/>
  </r>
  <r>
    <x v="12"/>
    <s v="2011/01/31"/>
    <x v="5"/>
    <s v="쿠기인터내셔날 1월분 관리비(무인경비)"/>
    <s v="10239"/>
    <s v="주식회사 쿠기인터내셔날"/>
    <s v="105-87-13835"/>
    <n v="-150320"/>
    <m/>
    <m/>
  </r>
  <r>
    <x v="12"/>
    <s v="2011/01/31"/>
    <x v="5"/>
    <s v="서서울텔레콤 1월분 관리비(무인경비)"/>
    <s v="10157"/>
    <s v="서서울텔레콤 주식회사"/>
    <s v="110-81-48182"/>
    <n v="-150320"/>
    <m/>
    <m/>
  </r>
  <r>
    <x v="12"/>
    <s v="2011/01/31"/>
    <x v="5"/>
    <s v="지로후원금-무명"/>
    <s v="90027"/>
    <s v="농협지로기부"/>
    <m/>
    <n v="240"/>
    <m/>
    <n v="520709"/>
  </r>
  <r>
    <x v="12"/>
    <s v="2011/02/01"/>
    <x v="0"/>
    <s v="CMS입금"/>
    <s v="90026"/>
    <s v="농협CMS기부"/>
    <m/>
    <n v="29580"/>
    <m/>
    <m/>
  </r>
  <r>
    <x v="12"/>
    <s v="2011/02/01"/>
    <x v="0"/>
    <s v="재단건물 1층 사용이 가능한 캡스카드 2개 발급"/>
    <s v="10051"/>
    <s v="(주)에이디티캡스서부"/>
    <s v="110-85-06588"/>
    <n v="11000"/>
    <m/>
    <n v="561289"/>
  </r>
  <r>
    <x v="12"/>
    <s v="2011/02/07"/>
    <x v="0"/>
    <s v="지로후원금-이경순"/>
    <s v="90027"/>
    <s v="농협지로기부"/>
    <m/>
    <n v="240"/>
    <m/>
    <n v="561529"/>
  </r>
  <r>
    <x v="12"/>
    <s v="2011/02/08"/>
    <x v="0"/>
    <s v="케이씨피-신용카드"/>
    <s v="90016"/>
    <s v="국민기부금"/>
    <m/>
    <n v="1507"/>
    <m/>
    <m/>
  </r>
  <r>
    <x v="12"/>
    <s v="2011/02/08"/>
    <x v="0"/>
    <s v="CMS입금"/>
    <s v="90026"/>
    <s v="농협CMS기부"/>
    <m/>
    <n v="25880"/>
    <m/>
    <n v="588916"/>
  </r>
  <r>
    <x v="12"/>
    <s v="2011/02/09"/>
    <x v="0"/>
    <s v="보육사업 제일은행통장 잔액증명서 발급"/>
    <s v="90055"/>
    <s v="농협운영비"/>
    <m/>
    <n v="2000"/>
    <m/>
    <m/>
  </r>
  <r>
    <x v="12"/>
    <s v="2011/02/09"/>
    <x v="0"/>
    <s v="회계감사관련 토지, 건물 등기부등본 발급수수료"/>
    <s v="90055"/>
    <s v="농협운영비"/>
    <m/>
    <n v="1600"/>
    <m/>
    <n v="592516"/>
  </r>
  <r>
    <x v="12"/>
    <s v="2011/02/10"/>
    <x v="0"/>
    <s v="1월분 웅진코웨이 정수기 렌탈비 지출의 건"/>
    <s v="10429"/>
    <s v="웅진코웨이(주)"/>
    <s v="307-81-06054"/>
    <n v="35000"/>
    <m/>
    <n v="627516"/>
  </r>
  <r>
    <x v="12"/>
    <s v="2011/02/11"/>
    <x v="0"/>
    <s v="CMS입금"/>
    <s v="90026"/>
    <s v="농협CMS기부"/>
    <m/>
    <n v="22600"/>
    <m/>
    <n v="650116"/>
  </r>
  <r>
    <x v="12"/>
    <s v="2011/02/15"/>
    <x v="0"/>
    <s v="금융결제원 cms정보이용료 지출의 건_x000a__x000a_"/>
    <s v="10323"/>
    <s v="사단법인 금융결제원"/>
    <s v="129-82-08745"/>
    <n v="70180"/>
    <m/>
    <n v="720296"/>
  </r>
  <r>
    <x v="12"/>
    <s v="2011/02/16"/>
    <x v="0"/>
    <s v="CMS입금"/>
    <s v="90026"/>
    <s v="농협CMS기부"/>
    <m/>
    <n v="7520"/>
    <m/>
    <n v="727816"/>
  </r>
  <r>
    <x v="12"/>
    <s v="2011/02/17"/>
    <x v="0"/>
    <s v="은행조회서 발급수수료 지출의 건"/>
    <m/>
    <s v="국민은행 서교동지점"/>
    <m/>
    <n v="30000"/>
    <m/>
    <m/>
  </r>
  <r>
    <x v="12"/>
    <s v="2011/02/17"/>
    <x v="0"/>
    <s v="은행조회서 발급수수료 지출의 건"/>
    <m/>
    <s v="우리은행 서교동지점"/>
    <m/>
    <n v="20000"/>
    <m/>
    <m/>
  </r>
  <r>
    <x v="12"/>
    <s v="2011/02/17"/>
    <x v="0"/>
    <s v="재단건물 캡스(보안경비)용역비"/>
    <s v="10051"/>
    <s v="(주)에이디티캡스서부"/>
    <s v="110-85-06588"/>
    <n v="451000"/>
    <m/>
    <n v="1228816"/>
  </r>
  <r>
    <x v="12"/>
    <s v="2011/02/18"/>
    <x v="0"/>
    <s v="은행조회서 발급수수료 지출의 건"/>
    <m/>
    <s v="제일은행 제일지점"/>
    <m/>
    <n v="20000"/>
    <m/>
    <n v="1248816"/>
  </r>
  <r>
    <x v="12"/>
    <s v="2011/02/21"/>
    <x v="0"/>
    <s v="캐쉬sos cms 수수료 이체"/>
    <m/>
    <m/>
    <m/>
    <n v="-20640"/>
    <m/>
    <m/>
  </r>
  <r>
    <x v="12"/>
    <s v="2011/02/21"/>
    <x v="0"/>
    <s v="은행조회서 발급수수료 지출의 건"/>
    <m/>
    <s v="외환은행 홍대역지점"/>
    <m/>
    <n v="30000"/>
    <m/>
    <n v="1258176"/>
  </r>
  <r>
    <x v="12"/>
    <s v="2011/02/22"/>
    <x v="0"/>
    <s v="CMS입금"/>
    <s v="90026"/>
    <s v="농협CMS기부"/>
    <m/>
    <n v="1440"/>
    <m/>
    <n v="1259616"/>
  </r>
  <r>
    <x v="12"/>
    <s v="2011/02/23"/>
    <x v="0"/>
    <s v="케이씨피-신용카드"/>
    <s v="90016"/>
    <s v="국민기부금"/>
    <m/>
    <n v="737"/>
    <m/>
    <m/>
  </r>
  <r>
    <x v="12"/>
    <s v="2011/02/23"/>
    <x v="0"/>
    <s v="전자세금계산서용 공인인증서 기간만료로 인한 재발급수수료"/>
    <s v="90055"/>
    <s v="농협운영비"/>
    <m/>
    <n v="4400"/>
    <m/>
    <n v="1264753"/>
  </r>
  <r>
    <x v="12"/>
    <s v="2011/02/24"/>
    <x v="0"/>
    <s v="은행조회서 발급수수료 지출의 건"/>
    <m/>
    <s v="하나은행 홍대입구지점"/>
    <m/>
    <n v="20000"/>
    <m/>
    <m/>
  </r>
  <r>
    <x v="12"/>
    <s v="2011/02/24"/>
    <x v="0"/>
    <s v="다날-핸드폰후원"/>
    <m/>
    <s v="다날"/>
    <m/>
    <n v="755"/>
    <m/>
    <n v="1285508"/>
  </r>
  <r>
    <x v="12"/>
    <s v="2011/02/28"/>
    <x v="0"/>
    <s v="CMS입금"/>
    <s v="90026"/>
    <s v="농협CMS기부"/>
    <m/>
    <n v="214720"/>
    <m/>
    <n v="1500228"/>
  </r>
  <r>
    <x v="12"/>
    <s v="2011/03/02"/>
    <x v="6"/>
    <s v="CMS입금"/>
    <s v="90026"/>
    <s v="농협CMS기부"/>
    <m/>
    <n v="28820"/>
    <m/>
    <m/>
  </r>
  <r>
    <x v="12"/>
    <s v="2011/03/02"/>
    <x v="6"/>
    <s v="쿠기인터내셔날 2월분 관리비(무인경비)"/>
    <s v="10051"/>
    <s v="(주)에이디티캡스서부"/>
    <s v="110-85-06588"/>
    <n v="-150320"/>
    <m/>
    <n v="1378728"/>
  </r>
  <r>
    <x v="12"/>
    <s v="2011/03/03"/>
    <x v="6"/>
    <s v="서서울텔레콤 2월분 관리비(무인경비)"/>
    <s v="10157"/>
    <s v="서서울텔레콤 주식회사"/>
    <s v="110-81-48182"/>
    <n v="-150320"/>
    <m/>
    <n v="1228408"/>
  </r>
  <r>
    <x v="12"/>
    <s v="2011/03/04"/>
    <x v="6"/>
    <s v="지로후원-이경순"/>
    <s v="90027"/>
    <s v="농협지로기부"/>
    <m/>
    <n v="240"/>
    <m/>
    <n v="1228648"/>
  </r>
  <r>
    <x v="12"/>
    <s v="2011/03/08"/>
    <x v="6"/>
    <s v="캐쉬sos cms 수수료 이체"/>
    <m/>
    <m/>
    <m/>
    <n v="-11120"/>
    <m/>
    <m/>
  </r>
  <r>
    <x v="12"/>
    <s v="2011/03/08"/>
    <x v="6"/>
    <s v="CMS입금"/>
    <s v="90026"/>
    <s v="농협CMS기부"/>
    <m/>
    <n v="27400"/>
    <m/>
    <m/>
  </r>
  <r>
    <x v="12"/>
    <s v="2011/03/08"/>
    <x v="6"/>
    <s v="케이씨피-신용카드"/>
    <s v="90016"/>
    <s v="국민기부금"/>
    <m/>
    <n v="1507"/>
    <m/>
    <n v="1246435"/>
  </r>
  <r>
    <x v="12"/>
    <s v="2011/03/10"/>
    <x v="6"/>
    <s v="등기부등본 발급수수료 정산의 건"/>
    <m/>
    <s v="대법원 인터넷등기소"/>
    <m/>
    <n v="2400"/>
    <m/>
    <m/>
  </r>
  <r>
    <x v="12"/>
    <s v="2011/03/10"/>
    <x v="6"/>
    <s v="3월분 웅진코웨이 정수기 렌탈비 지출의 건"/>
    <s v="10429"/>
    <s v="웅진코웨이(주)"/>
    <s v="307-81-06054"/>
    <n v="35000"/>
    <m/>
    <n v="1283835"/>
  </r>
  <r>
    <x v="12"/>
    <s v="2011/03/11"/>
    <x v="6"/>
    <s v="CMS입금"/>
    <s v="90026"/>
    <s v="농협CMS기부"/>
    <m/>
    <n v="22460"/>
    <m/>
    <n v="1306295"/>
  </r>
  <r>
    <x v="12"/>
    <s v="2011/03/14"/>
    <x v="6"/>
    <s v="(계좌간이체)캐쉬SOS 상환CMS 수수료"/>
    <m/>
    <m/>
    <m/>
    <n v="-22180"/>
    <m/>
    <n v="1284115"/>
  </r>
  <r>
    <x v="12"/>
    <s v="2011/03/15"/>
    <x v="6"/>
    <s v="은행조회서 발급수수료 지출의 건"/>
    <m/>
    <s v="증소기업은행 홍대역지점"/>
    <m/>
    <n v="50000"/>
    <m/>
    <m/>
  </r>
  <r>
    <x v="12"/>
    <s v="2011/03/15"/>
    <x v="6"/>
    <s v="재단건물 캡스(보안경비)용역비"/>
    <s v="10051"/>
    <s v="(주)에이디티캡스서부"/>
    <s v="110-85-06588"/>
    <n v="451000"/>
    <m/>
    <m/>
  </r>
  <r>
    <x v="12"/>
    <s v="2011/03/15"/>
    <x v="6"/>
    <s v="금융결제원 cms정보이용료 지출의 건_x000a__x000a_"/>
    <s v="10323"/>
    <s v="사단법인 금융결제원"/>
    <s v="129-82-08745"/>
    <n v="66000"/>
    <m/>
    <n v="1851115"/>
  </r>
  <r>
    <x v="12"/>
    <s v="2011/03/16"/>
    <x v="6"/>
    <s v="CMS입금"/>
    <s v="90026"/>
    <s v="농협CMS기부"/>
    <m/>
    <n v="7760"/>
    <m/>
    <n v="1858875"/>
  </r>
  <r>
    <x v="12"/>
    <s v="2011/03/22"/>
    <x v="6"/>
    <s v="재단 등기변경수수료 정산의 건"/>
    <s v="10143"/>
    <s v="법무사방흥용사무소"/>
    <s v="229-01-54346"/>
    <n v="220000"/>
    <m/>
    <m/>
  </r>
  <r>
    <x v="12"/>
    <s v="2011/03/22"/>
    <x v="6"/>
    <s v="재단 등기변경수수료 정산의 건"/>
    <s v="10143"/>
    <s v="법무사방흥용사무소"/>
    <s v="229-01-54346"/>
    <n v="209600"/>
    <m/>
    <m/>
  </r>
  <r>
    <x v="12"/>
    <s v="2011/03/22"/>
    <x v="6"/>
    <s v="계좌이체 송금수수료 정산의 건"/>
    <m/>
    <s v="우체국"/>
    <m/>
    <n v="3500"/>
    <m/>
    <m/>
  </r>
  <r>
    <x v="12"/>
    <s v="2011/03/22"/>
    <x v="6"/>
    <s v="CMS입금"/>
    <s v="90026"/>
    <s v="농협CMS기부"/>
    <m/>
    <n v="1180"/>
    <m/>
    <n v="2293155"/>
  </r>
  <r>
    <x v="12"/>
    <s v="2011/03/23"/>
    <x v="6"/>
    <s v="케이씨피-신용카드-권숙진"/>
    <s v="90016"/>
    <s v="국민기부금"/>
    <m/>
    <n v="2555"/>
    <m/>
    <m/>
  </r>
  <r>
    <x v="12"/>
    <s v="2011/03/23"/>
    <x v="6"/>
    <s v="케이씨피-신용카드"/>
    <s v="90016"/>
    <s v="국민기부금"/>
    <m/>
    <n v="737"/>
    <m/>
    <n v="2296447"/>
  </r>
  <r>
    <x v="12"/>
    <s v="2011/03/25"/>
    <x v="6"/>
    <s v="인감증명서 및 등기부등본 발급수수료 정산의 건"/>
    <m/>
    <s v="북부등기소"/>
    <m/>
    <n v="10000"/>
    <m/>
    <m/>
  </r>
  <r>
    <x v="12"/>
    <s v="2011/03/25"/>
    <x v="6"/>
    <s v="인감증명서 및 등기부등본 발급수수료 정산의 건"/>
    <m/>
    <s v="북부등기소"/>
    <m/>
    <n v="5000"/>
    <m/>
    <n v="2311447"/>
  </r>
  <r>
    <x v="12"/>
    <s v="2011/03/28"/>
    <x v="6"/>
    <s v="CMS입금"/>
    <s v="90026"/>
    <s v="농협CMS기부"/>
    <m/>
    <n v="209700"/>
    <m/>
    <n v="2521147"/>
  </r>
  <r>
    <x v="12"/>
    <s v="2011/03/31"/>
    <x v="6"/>
    <s v="쿠기인터내셔날 3월분 관리비(무인경비)"/>
    <s v="10051"/>
    <s v="(주)에이디티캡스서부"/>
    <s v="110-85-06588"/>
    <n v="-150320"/>
    <m/>
    <m/>
  </r>
  <r>
    <x v="12"/>
    <s v="2011/03/31"/>
    <x v="6"/>
    <s v="서서울텔레콤 3월분 관리비(무인경비)"/>
    <s v="10051"/>
    <s v="(주)에이디티캡스서부"/>
    <s v="110-85-06588"/>
    <n v="-150320"/>
    <m/>
    <m/>
  </r>
  <r>
    <x v="12"/>
    <s v="2011/03/31"/>
    <x v="6"/>
    <s v="CMS입금"/>
    <s v="90026"/>
    <s v="농협CMS기부"/>
    <m/>
    <n v="28580"/>
    <m/>
    <m/>
  </r>
  <r>
    <x v="12"/>
    <s v="2011/03/31"/>
    <x v="6"/>
    <s v="지로후원-이경순"/>
    <s v="90027"/>
    <s v="농협지로기부"/>
    <m/>
    <n v="240"/>
    <m/>
    <m/>
  </r>
  <r>
    <x v="12"/>
    <s v="2011/03/31"/>
    <x v="6"/>
    <s v="다날-핸드폰후원"/>
    <s v="90019"/>
    <s v="하나개인기부자"/>
    <m/>
    <n v="880"/>
    <m/>
    <n v="2250207"/>
  </r>
  <r>
    <x v="12"/>
    <s v="2011/04/06"/>
    <x v="7"/>
    <s v="캐쉬sos cms 수수료 이체"/>
    <m/>
    <m/>
    <m/>
    <n v="-9640"/>
    <m/>
    <m/>
  </r>
  <r>
    <x v="12"/>
    <s v="2011/04/06"/>
    <x v="7"/>
    <s v="CMS입금"/>
    <s v="90026"/>
    <s v="농협CMS기부"/>
    <m/>
    <n v="25960"/>
    <m/>
    <n v="2266527"/>
  </r>
  <r>
    <x v="12"/>
    <s v="2011/04/08"/>
    <x v="7"/>
    <s v="케이씨피-신용카드"/>
    <s v="90016"/>
    <s v="국민기부금"/>
    <m/>
    <n v="1507"/>
    <m/>
    <m/>
  </r>
  <r>
    <x v="12"/>
    <s v="2011/04/08"/>
    <x v="7"/>
    <s v="케이씨피-신용카드-윤정희"/>
    <s v="90016"/>
    <s v="국민기부금"/>
    <m/>
    <n v="1925"/>
    <m/>
    <n v="2269959"/>
  </r>
  <r>
    <x v="12"/>
    <s v="2011/04/11"/>
    <x v="7"/>
    <s v="4월분 웅진코웨이 정수기 렌탈비 지출의 건"/>
    <s v="10429"/>
    <s v="웅진코웨이(주)"/>
    <s v="307-81-06054"/>
    <n v="35000"/>
    <m/>
    <n v="2304959"/>
  </r>
  <r>
    <x v="12"/>
    <s v="2011/04/12"/>
    <x v="7"/>
    <s v="CMS입금"/>
    <s v="90026"/>
    <s v="농협CMS기부"/>
    <m/>
    <n v="23260"/>
    <m/>
    <n v="2328219"/>
  </r>
  <r>
    <x v="12"/>
    <s v="2011/04/14"/>
    <x v="7"/>
    <s v="캐쉬sos cms 수수료 이체"/>
    <s v="90055"/>
    <s v="농협운영비"/>
    <m/>
    <n v="-20900"/>
    <m/>
    <n v="2307319"/>
  </r>
  <r>
    <x v="12"/>
    <s v="2011/04/15"/>
    <x v="7"/>
    <s v="재단건물 캡스(보안경비)용역비"/>
    <s v="10051"/>
    <s v="(주)에이디티캡스서부"/>
    <s v="110-85-06588"/>
    <n v="451000"/>
    <m/>
    <m/>
  </r>
  <r>
    <x v="12"/>
    <s v="2011/04/15"/>
    <x v="7"/>
    <s v="금융결제원 cms정보이용료 지출의 건_x000a__x000a_"/>
    <s v="10323"/>
    <s v="사단법인 금융결제원"/>
    <s v="129-82-08745"/>
    <n v="66000"/>
    <m/>
    <n v="2824319"/>
  </r>
  <r>
    <x v="12"/>
    <s v="2011/04/18"/>
    <x v="7"/>
    <s v="농협 인증서 갱신 수수료"/>
    <s v="10100"/>
    <s v="농협중앙회"/>
    <s v="104-82-07072"/>
    <n v="4400"/>
    <m/>
    <n v="2828719"/>
  </r>
  <r>
    <x v="12"/>
    <s v="2011/04/19"/>
    <x v="7"/>
    <s v="외부감사 수수료 및 인쇄비의 건"/>
    <s v="10212"/>
    <s v="(유)이정회계법인"/>
    <s v="211-87-02818"/>
    <n v="9000000"/>
    <m/>
    <n v="11828719"/>
  </r>
  <r>
    <x v="12"/>
    <s v="2011/04/20"/>
    <x v="7"/>
    <s v="CMS입금"/>
    <s v="90026"/>
    <s v="농협CMS기부"/>
    <m/>
    <n v="7700"/>
    <m/>
    <m/>
  </r>
  <r>
    <x v="12"/>
    <s v="2011/04/20"/>
    <x v="7"/>
    <s v="은행송금수수료 정산의 건"/>
    <m/>
    <s v="우리은행"/>
    <m/>
    <n v="500"/>
    <m/>
    <n v="11836919"/>
  </r>
  <r>
    <x v="12"/>
    <s v="2011/04/21"/>
    <x v="7"/>
    <s v="CMS입금"/>
    <s v="90026"/>
    <s v="농협CMS기부"/>
    <m/>
    <n v="1160"/>
    <m/>
    <n v="11838079"/>
  </r>
  <r>
    <x v="12"/>
    <s v="2011/04/25"/>
    <x v="7"/>
    <s v="케이씨피-신용카드 수수료"/>
    <s v="90016"/>
    <s v="국민기부금"/>
    <m/>
    <n v="737"/>
    <m/>
    <n v="11838816"/>
  </r>
  <r>
    <x v="12"/>
    <s v="2011/04/26"/>
    <x v="7"/>
    <s v="CMS입금"/>
    <s v="90026"/>
    <s v="농협CMS기부"/>
    <m/>
    <n v="208300"/>
    <m/>
    <n v="12047116"/>
  </r>
  <r>
    <x v="12"/>
    <s v="2011/04/29"/>
    <x v="7"/>
    <s v="서서울텔레콤 4월분 관리비(무인경비)"/>
    <s v="10051"/>
    <s v="(주)에이디티캡스서부"/>
    <s v="110-85-06588"/>
    <n v="-150320"/>
    <m/>
    <n v="11896796"/>
  </r>
  <r>
    <x v="12"/>
    <s v="2011/05/02"/>
    <x v="8"/>
    <s v="지로후원-이경순"/>
    <s v="90027"/>
    <s v="농협지로기부"/>
    <m/>
    <n v="240"/>
    <m/>
    <m/>
  </r>
  <r>
    <x v="12"/>
    <s v="2011/05/02"/>
    <x v="8"/>
    <s v="쿠기인터내셔날 4월분 관리비(무인경비)"/>
    <s v="10051"/>
    <s v="(주)에이디티캡스서부"/>
    <s v="110-85-06588"/>
    <n v="-150320"/>
    <m/>
    <n v="11746716"/>
  </r>
  <r>
    <x v="12"/>
    <s v="2011/05/03"/>
    <x v="8"/>
    <s v="CMS입금"/>
    <s v="90026"/>
    <s v="농협CMS기부"/>
    <m/>
    <n v="26980"/>
    <m/>
    <m/>
  </r>
  <r>
    <x v="12"/>
    <s v="2011/05/03"/>
    <x v="8"/>
    <s v="지로후원-최병옥"/>
    <s v="90027"/>
    <s v="농협지로기부"/>
    <m/>
    <n v="240"/>
    <m/>
    <n v="11773936"/>
  </r>
  <r>
    <x v="12"/>
    <s v="2011/05/04"/>
    <x v="8"/>
    <s v="캐쉬sos cms 수수료 이체"/>
    <m/>
    <m/>
    <m/>
    <n v="-10040"/>
    <m/>
    <n v="11763896"/>
  </r>
  <r>
    <x v="12"/>
    <s v="2011/05/09"/>
    <x v="8"/>
    <s v="재단 등기부등본 발급수수료 정산의 건"/>
    <m/>
    <s v="인터넷등기소 대법원"/>
    <m/>
    <n v="4000"/>
    <m/>
    <m/>
  </r>
  <r>
    <x v="12"/>
    <s v="2011/05/09"/>
    <x v="8"/>
    <s v="공인인증서 갱신수수료 정산의 건"/>
    <m/>
    <s v="농협은행"/>
    <m/>
    <n v="4400"/>
    <m/>
    <m/>
  </r>
  <r>
    <x v="12"/>
    <s v="2011/05/09"/>
    <x v="8"/>
    <s v="케이씨피-신용카드"/>
    <s v="90016"/>
    <s v="국민기부금"/>
    <m/>
    <n v="1155"/>
    <m/>
    <m/>
  </r>
  <r>
    <x v="12"/>
    <s v="2011/05/09"/>
    <x v="8"/>
    <s v="케이씨피-신용카드"/>
    <s v="90016"/>
    <s v="국민기부금"/>
    <m/>
    <n v="8990"/>
    <m/>
    <m/>
  </r>
  <r>
    <x v="12"/>
    <s v="2011/05/09"/>
    <x v="8"/>
    <s v="CMS입금"/>
    <s v="90026"/>
    <s v="농협CMS기부"/>
    <m/>
    <n v="25820"/>
    <m/>
    <n v="11808261"/>
  </r>
  <r>
    <x v="12"/>
    <s v="2011/05/11"/>
    <x v="8"/>
    <s v="지로후원-최낙주"/>
    <s v="90027"/>
    <s v="농협지로기부"/>
    <m/>
    <n v="240"/>
    <m/>
    <m/>
  </r>
  <r>
    <x v="12"/>
    <s v="2011/05/11"/>
    <x v="8"/>
    <s v="5월분 웅진코웨이 정수기 렌탈비 지출의 건"/>
    <s v="10429"/>
    <s v="웅진코웨이(주)"/>
    <s v="307-81-06054"/>
    <n v="35000"/>
    <m/>
    <n v="11843501"/>
  </r>
  <r>
    <x v="12"/>
    <s v="2011/05/12"/>
    <x v="8"/>
    <s v="CMS입금"/>
    <s v="90026"/>
    <s v="농협CMS기부"/>
    <m/>
    <n v="24340"/>
    <m/>
    <n v="11867841"/>
  </r>
  <r>
    <x v="12"/>
    <s v="2011/05/16"/>
    <x v="8"/>
    <s v="케이씨피-신용카드"/>
    <s v="90016"/>
    <s v="국민기부금"/>
    <m/>
    <n v="69336"/>
    <m/>
    <m/>
  </r>
  <r>
    <x v="12"/>
    <s v="2011/05/16"/>
    <x v="8"/>
    <s v="재단건물 캡스(보안경비)용역비"/>
    <s v="10051"/>
    <s v="(주)에이디티캡스서부"/>
    <s v="110-85-06588"/>
    <n v="451000"/>
    <m/>
    <m/>
  </r>
  <r>
    <x v="12"/>
    <s v="2011/05/16"/>
    <x v="8"/>
    <s v="금융결제원 cms정보이용료 지출의 건_x000a__x000a_"/>
    <s v="10323"/>
    <s v="사단법인 금융결제원"/>
    <s v="129-82-08745"/>
    <n v="66000"/>
    <m/>
    <n v="12454177"/>
  </r>
  <r>
    <x v="12"/>
    <s v="2011/05/17"/>
    <x v="8"/>
    <s v="캐쉬sos cms 수수료 이체"/>
    <m/>
    <m/>
    <m/>
    <n v="-20880"/>
    <m/>
    <m/>
  </r>
  <r>
    <x v="12"/>
    <s v="2011/05/17"/>
    <x v="8"/>
    <s v="CMS입금"/>
    <s v="90026"/>
    <s v="농협CMS기부"/>
    <m/>
    <n v="7580"/>
    <m/>
    <n v="12440877"/>
  </r>
  <r>
    <x v="12"/>
    <s v="2011/05/19"/>
    <x v="8"/>
    <s v="계좌거래내역서 수수료 정산의 건"/>
    <m/>
    <s v="류경열"/>
    <m/>
    <n v="3000"/>
    <m/>
    <n v="12443877"/>
  </r>
  <r>
    <x v="12"/>
    <s v="2011/05/23"/>
    <x v="8"/>
    <s v="인감증명서 및 등기부등본 발급수수료 지출의 건"/>
    <m/>
    <s v="서울서부지방법원 서대문등기소"/>
    <m/>
    <n v="15000"/>
    <m/>
    <m/>
  </r>
  <r>
    <x v="12"/>
    <s v="2011/05/23"/>
    <x v="8"/>
    <s v="인감증명서 및 등기부등본 발급수수료 지출의 건"/>
    <m/>
    <s v="서울서부지방법원 서대문등기소"/>
    <m/>
    <n v="2000"/>
    <m/>
    <m/>
  </r>
  <r>
    <x v="12"/>
    <s v="2011/05/23"/>
    <x v="8"/>
    <s v="케이씨피-신용카드 수수료"/>
    <s v="90016"/>
    <s v="국민기부금"/>
    <m/>
    <n v="737"/>
    <m/>
    <m/>
  </r>
  <r>
    <x v="12"/>
    <s v="2011/05/23"/>
    <x v="8"/>
    <s v="케이씨피-신용카드"/>
    <s v="90016"/>
    <s v="국민기부금"/>
    <m/>
    <n v="25606"/>
    <m/>
    <n v="12487220"/>
  </r>
  <r>
    <x v="12"/>
    <s v="2011/05/24"/>
    <x v="8"/>
    <s v="CMS입금"/>
    <s v="90026"/>
    <s v="농협CMS기부"/>
    <m/>
    <n v="1280"/>
    <m/>
    <n v="12488500"/>
  </r>
  <r>
    <x v="12"/>
    <s v="2011/05/25"/>
    <x v="8"/>
    <s v="부동산 임대 중개수수료"/>
    <m/>
    <s v="다우공인중개사사무소"/>
    <m/>
    <n v="3150000"/>
    <m/>
    <n v="15638500"/>
  </r>
  <r>
    <x v="12"/>
    <s v="2011/05/26"/>
    <x v="8"/>
    <s v="은행이체 수수료 지출의 건"/>
    <m/>
    <s v="씨티은행 서교동지점"/>
    <m/>
    <n v="4000"/>
    <m/>
    <m/>
  </r>
  <r>
    <x v="12"/>
    <s v="2011/05/26"/>
    <x v="8"/>
    <s v="CMS입금"/>
    <s v="90026"/>
    <s v="농협CMS기부"/>
    <m/>
    <n v="210840"/>
    <m/>
    <n v="15853340"/>
  </r>
  <r>
    <x v="12"/>
    <s v="2011/05/30"/>
    <x v="8"/>
    <s v="케이씨피-신용카드"/>
    <s v="90016"/>
    <s v="국민기부금"/>
    <m/>
    <n v="80852"/>
    <m/>
    <n v="15934192"/>
  </r>
  <r>
    <x v="12"/>
    <s v="2011/05/31"/>
    <x v="8"/>
    <s v="재단 등기부등본 발급수수료 정산의 건"/>
    <m/>
    <s v="대법원 인터넷등기소"/>
    <m/>
    <n v="4800"/>
    <m/>
    <m/>
  </r>
  <r>
    <x v="12"/>
    <s v="2011/05/31"/>
    <x v="8"/>
    <s v="지로후원-이경순"/>
    <s v="90027"/>
    <s v="농협지로기부"/>
    <m/>
    <n v="240"/>
    <m/>
    <m/>
  </r>
  <r>
    <x v="12"/>
    <s v="2011/05/31"/>
    <x v="8"/>
    <s v="은행이체 및 통장발급 수수료 지출의 건"/>
    <m/>
    <s v="우리은행"/>
    <m/>
    <n v="500"/>
    <m/>
    <m/>
  </r>
  <r>
    <x v="12"/>
    <s v="2011/05/31"/>
    <x v="8"/>
    <s v="은행이체 및 통장발급 수수료 지출의 건"/>
    <m/>
    <s v="우리은행"/>
    <m/>
    <n v="500"/>
    <m/>
    <m/>
  </r>
  <r>
    <x v="12"/>
    <s v="2011/05/31"/>
    <x v="8"/>
    <s v="은행이체 및 통장발급 수수료 지출의 건"/>
    <m/>
    <s v="국민은행"/>
    <m/>
    <n v="1000"/>
    <m/>
    <m/>
  </r>
  <r>
    <x v="12"/>
    <s v="2011/05/31"/>
    <x v="8"/>
    <s v="은행이체 및 통장발급 수수료 지출의 건"/>
    <m/>
    <s v="하나은행"/>
    <m/>
    <n v="500"/>
    <m/>
    <m/>
  </r>
  <r>
    <x v="12"/>
    <s v="2011/05/31"/>
    <x v="8"/>
    <s v="은행이체 및 통장발급 수수료 지출의 건"/>
    <m/>
    <s v="하나은행"/>
    <m/>
    <n v="2000"/>
    <m/>
    <m/>
  </r>
  <r>
    <x v="12"/>
    <s v="2011/05/31"/>
    <x v="8"/>
    <s v="CMS입금"/>
    <s v="90026"/>
    <s v="농협CMS기부"/>
    <m/>
    <n v="28940"/>
    <m/>
    <m/>
  </r>
  <r>
    <x v="12"/>
    <s v="2011/05/31"/>
    <x v="8"/>
    <s v="쿠기인터내셔날 5월분 관리비(무인경비)"/>
    <s v="10239"/>
    <s v="주식회사 쿠기인터내셔날"/>
    <s v="105-87-13835"/>
    <n v="-150320"/>
    <m/>
    <m/>
  </r>
  <r>
    <x v="12"/>
    <s v="2011/05/31"/>
    <x v="8"/>
    <s v="서서울텔레콤 5월분 관리비(무인경비)"/>
    <s v="10157"/>
    <s v="서서울텔레콤 주식회사"/>
    <s v="110-81-48182"/>
    <n v="-150320"/>
    <m/>
    <n v="15672032"/>
  </r>
  <r>
    <x v="12"/>
    <s v="2011/06/01"/>
    <x v="1"/>
    <s v="캐쉬sos cms 수수료 이체"/>
    <m/>
    <m/>
    <m/>
    <n v="-10420"/>
    <m/>
    <n v="15661612"/>
  </r>
  <r>
    <x v="12"/>
    <s v="2011/06/08"/>
    <x v="1"/>
    <s v="케이씨피-신용카드-정일용"/>
    <s v="90016"/>
    <s v="국민기부금"/>
    <m/>
    <n v="385"/>
    <m/>
    <m/>
  </r>
  <r>
    <x v="12"/>
    <s v="2011/06/08"/>
    <x v="1"/>
    <s v="CMS입금"/>
    <s v="90026"/>
    <s v="농협CMS기부"/>
    <m/>
    <n v="26100"/>
    <m/>
    <m/>
  </r>
  <r>
    <x v="12"/>
    <s v="2011/06/08"/>
    <x v="1"/>
    <s v="케이씨피-신용카드 수수료"/>
    <s v="90016"/>
    <s v="국민기부금"/>
    <m/>
    <n v="90836"/>
    <m/>
    <n v="15778933"/>
  </r>
  <r>
    <x v="12"/>
    <s v="2011/06/09"/>
    <x v="1"/>
    <s v="지로후원-최병옥"/>
    <s v="90027"/>
    <s v="농협지로기부"/>
    <m/>
    <n v="240"/>
    <m/>
    <n v="15779173"/>
  </r>
  <r>
    <x v="12"/>
    <s v="2011/06/10"/>
    <x v="1"/>
    <s v="6월분 웅진코웨이 정수기 렌탈비 지출의 건"/>
    <s v="10429"/>
    <s v="웅진코웨이(주)"/>
    <s v="307-81-06054"/>
    <n v="35000"/>
    <m/>
    <n v="15814173"/>
  </r>
  <r>
    <x v="12"/>
    <s v="2011/06/13"/>
    <x v="1"/>
    <s v="CMS입금"/>
    <s v="90026"/>
    <s v="농협CMS기부"/>
    <m/>
    <n v="33620"/>
    <m/>
    <n v="15847793"/>
  </r>
  <r>
    <x v="12"/>
    <s v="2011/06/14"/>
    <x v="1"/>
    <s v="국민릴레이 이체"/>
    <s v="90010"/>
    <s v="농협릴레이기부"/>
    <m/>
    <n v="500"/>
    <m/>
    <m/>
  </r>
  <r>
    <x v="12"/>
    <s v="2011/06/14"/>
    <x v="1"/>
    <s v="우리개인기부자 이체"/>
    <s v="90010"/>
    <s v="농협릴레이기부"/>
    <m/>
    <n v="500"/>
    <m/>
    <m/>
  </r>
  <r>
    <x v="12"/>
    <s v="2011/06/14"/>
    <x v="1"/>
    <s v="우리릴레이 이체"/>
    <s v="90134"/>
    <s v="씨티기부금(통합)"/>
    <m/>
    <n v="500"/>
    <m/>
    <n v="15849293"/>
  </r>
  <r>
    <x v="12"/>
    <s v="2011/06/15"/>
    <x v="1"/>
    <s v="캐쉬sos cms 수수료 이체"/>
    <m/>
    <m/>
    <m/>
    <n v="-20800"/>
    <m/>
    <m/>
  </r>
  <r>
    <x v="12"/>
    <s v="2011/06/15"/>
    <x v="1"/>
    <s v="국민릴레이 이체"/>
    <s v="90134"/>
    <s v="씨티기부금(통합)"/>
    <m/>
    <n v="500"/>
    <m/>
    <m/>
  </r>
  <r>
    <x v="12"/>
    <s v="2011/06/15"/>
    <x v="1"/>
    <s v="국민릴레이 이체"/>
    <s v="90134"/>
    <s v="씨티기부금(통합)"/>
    <m/>
    <n v="500"/>
    <m/>
    <m/>
  </r>
  <r>
    <x v="12"/>
    <s v="2011/06/15"/>
    <x v="1"/>
    <s v="케이씨피-신용카드"/>
    <s v="90016"/>
    <s v="국민기부금"/>
    <m/>
    <n v="15042"/>
    <m/>
    <m/>
  </r>
  <r>
    <x v="12"/>
    <s v="2011/06/15"/>
    <x v="1"/>
    <s v="금융결제원 cms정보이용료 지출의 건_x000a__x000a_"/>
    <s v="10323"/>
    <s v="사단법인 금융결제원"/>
    <s v="129-82-08745"/>
    <n v="66000"/>
    <m/>
    <n v="15910535"/>
  </r>
  <r>
    <x v="12"/>
    <s v="2011/06/16"/>
    <x v="1"/>
    <s v="CMS입금"/>
    <s v="90026"/>
    <s v="농협CMS기부"/>
    <m/>
    <n v="7200"/>
    <m/>
    <n v="15917735"/>
  </r>
  <r>
    <x v="12"/>
    <s v="2011/06/17"/>
    <x v="1"/>
    <s v="재단건물 캡스(보안경비)용역비"/>
    <s v="10051"/>
    <s v="(주)에이디티캡스서부"/>
    <s v="110-85-06588"/>
    <n v="451000"/>
    <m/>
    <m/>
  </r>
  <r>
    <x v="12"/>
    <s v="2011/06/17"/>
    <x v="1"/>
    <s v="냉온수기 소독비 지출의 건"/>
    <m/>
    <s v="푸름지기"/>
    <m/>
    <n v="13000"/>
    <m/>
    <n v="16381735"/>
  </r>
  <r>
    <x v="12"/>
    <s v="2011/06/21"/>
    <x v="1"/>
    <s v="CMS입금"/>
    <s v="90026"/>
    <s v="농협CMS기부"/>
    <m/>
    <n v="1160"/>
    <m/>
    <n v="16382895"/>
  </r>
  <r>
    <x v="12"/>
    <s v="2011/06/23"/>
    <x v="1"/>
    <s v="케이씨피-신용카드-김경희"/>
    <s v="90016"/>
    <s v="국민기부금"/>
    <m/>
    <n v="385"/>
    <m/>
    <m/>
  </r>
  <r>
    <x v="12"/>
    <s v="2011/06/23"/>
    <x v="1"/>
    <s v="케이씨피-신용카드"/>
    <s v="90016"/>
    <s v="국민기부금"/>
    <m/>
    <n v="21967"/>
    <m/>
    <n v="16405247"/>
  </r>
  <r>
    <x v="12"/>
    <s v="2011/06/24"/>
    <x v="1"/>
    <s v="다날-핸드폰후원"/>
    <s v="90019"/>
    <s v="하나개인기부자"/>
    <m/>
    <n v="220"/>
    <m/>
    <n v="16405467"/>
  </r>
  <r>
    <x v="12"/>
    <s v="2011/06/28"/>
    <x v="1"/>
    <s v="CMS입금"/>
    <s v="90026"/>
    <s v="농협CMS기부"/>
    <m/>
    <n v="218100"/>
    <m/>
    <n v="16623567"/>
  </r>
  <r>
    <x v="12"/>
    <s v="2011/06/29"/>
    <x v="1"/>
    <s v="캐쉬sos cms 수수료 이체"/>
    <m/>
    <m/>
    <m/>
    <n v="-9260"/>
    <m/>
    <n v="16614307"/>
  </r>
  <r>
    <x v="12"/>
    <s v="2011/06/30"/>
    <x v="1"/>
    <s v="지로후원-이경순"/>
    <s v="90027"/>
    <s v="농협지로기부"/>
    <m/>
    <n v="240"/>
    <m/>
    <m/>
  </r>
  <r>
    <x v="12"/>
    <s v="2011/06/30"/>
    <x v="1"/>
    <s v="케이씨피-신용카드"/>
    <s v="90016"/>
    <s v="국민기부금"/>
    <m/>
    <n v="35904"/>
    <m/>
    <m/>
  </r>
  <r>
    <x v="12"/>
    <s v="2011/06/30"/>
    <x v="1"/>
    <s v="다날-핸드폰후원"/>
    <s v="90019"/>
    <s v="하나개인기부자"/>
    <m/>
    <n v="2684"/>
    <m/>
    <m/>
  </r>
  <r>
    <x v="12"/>
    <s v="2011/06/30"/>
    <x v="1"/>
    <s v="쿠기인터내셔날 6월분 관리비(무인경비)"/>
    <s v="10051"/>
    <s v="(주)에이디티캡스서부"/>
    <s v="110-85-06588"/>
    <n v="-150320"/>
    <m/>
    <m/>
  </r>
  <r>
    <x v="12"/>
    <s v="2011/06/30"/>
    <x v="1"/>
    <s v="우리가 만드는 미래 6월분 관리비(무인경비)"/>
    <s v="10051"/>
    <s v="(주)에이디티캡스서부"/>
    <s v="110-85-06588"/>
    <n v="-75160"/>
    <m/>
    <n v="16427655"/>
  </r>
  <r>
    <x v="12"/>
    <s v="2011/07/01"/>
    <x v="9"/>
    <s v="등기부등본 발급비 지출의 건"/>
    <m/>
    <s v="대법원 인터넷등기소"/>
    <m/>
    <n v="800"/>
    <m/>
    <m/>
  </r>
  <r>
    <x v="12"/>
    <s v="2011/07/01"/>
    <x v="9"/>
    <s v="CMS입금"/>
    <s v="90026"/>
    <s v="농협CMS기부"/>
    <m/>
    <n v="27780"/>
    <m/>
    <n v="16456235"/>
  </r>
  <r>
    <x v="12"/>
    <s v="2011/07/05"/>
    <x v="9"/>
    <s v="트랜스폴로지스틱스 6월분 관리비(무인경비)"/>
    <s v="10528"/>
    <s v="주식회사 트랜스폴로지스틱스"/>
    <s v="105-87-57885"/>
    <n v="-75160"/>
    <m/>
    <n v="16381075"/>
  </r>
  <r>
    <x v="12"/>
    <s v="2011/07/06"/>
    <x v="9"/>
    <s v="CMS입금"/>
    <s v="90026"/>
    <s v="농협CMS기부"/>
    <m/>
    <n v="24400"/>
    <m/>
    <m/>
  </r>
  <r>
    <x v="12"/>
    <s v="2011/07/06"/>
    <x v="9"/>
    <s v="보통예금 이체(국민릴레이-씨티개인기부금)"/>
    <s v="90134"/>
    <s v="씨티개인기부금(통합)"/>
    <m/>
    <n v="500"/>
    <m/>
    <m/>
  </r>
  <r>
    <x v="12"/>
    <s v="2011/07/06"/>
    <x v="9"/>
    <s v="보통예금 이체(신한릴레이기부-씨티개인기부금)"/>
    <s v="90134"/>
    <s v="씨티기부금(통합)"/>
    <m/>
    <n v="500"/>
    <m/>
    <n v="16406475"/>
  </r>
  <r>
    <x v="12"/>
    <s v="2011/07/07"/>
    <x v="9"/>
    <s v="캐쉬sos cms 수수료 이체"/>
    <m/>
    <m/>
    <m/>
    <n v="-19480"/>
    <m/>
    <n v="16386995"/>
  </r>
  <r>
    <x v="12"/>
    <s v="2011/07/08"/>
    <x v="9"/>
    <s v="케이씨피-신용카드-정일용"/>
    <s v="90016"/>
    <s v="국민기부금"/>
    <m/>
    <n v="385"/>
    <m/>
    <m/>
  </r>
  <r>
    <x v="12"/>
    <s v="2011/07/08"/>
    <x v="9"/>
    <s v="케이씨피-신용카드"/>
    <s v="90016"/>
    <s v="국민기부금"/>
    <m/>
    <n v="9460"/>
    <m/>
    <n v="16396840"/>
  </r>
  <r>
    <x v="12"/>
    <s v="2011/07/11"/>
    <x v="9"/>
    <s v="7월분 웅진코웨이 정수기 렌탈비 지출의 건"/>
    <s v="10429"/>
    <s v="웅진코웨이(주)"/>
    <s v="307-81-06054"/>
    <n v="35000"/>
    <m/>
    <n v="16431840"/>
  </r>
  <r>
    <x v="12"/>
    <s v="2011/07/12"/>
    <x v="9"/>
    <s v="재단 업무표장등록 수수료 지출관련의 건"/>
    <s v="10545"/>
    <s v="법무법인 케이씨엘"/>
    <s v="102-81-34260"/>
    <n v="398000"/>
    <m/>
    <m/>
  </r>
  <r>
    <x v="12"/>
    <s v="2011/07/12"/>
    <x v="9"/>
    <s v="CMS입금"/>
    <s v="90026"/>
    <s v="농협CMS기부"/>
    <m/>
    <n v="26460"/>
    <m/>
    <n v="16856300"/>
  </r>
  <r>
    <x v="12"/>
    <s v="2011/07/15"/>
    <x v="9"/>
    <s v="재단건물 캡스(보안경비)용역비"/>
    <s v="10051"/>
    <s v="(주)에이디티캡스서부"/>
    <s v="110-85-06588"/>
    <n v="451000"/>
    <m/>
    <m/>
  </r>
  <r>
    <x v="12"/>
    <s v="2011/07/15"/>
    <x v="9"/>
    <s v="금융결제원 cms정보이용료 지출의 건_x000a__x000a_"/>
    <s v="10323"/>
    <s v="사단법인 금융결제원"/>
    <s v="129-82-08745"/>
    <n v="66000"/>
    <m/>
    <n v="17373300"/>
  </r>
  <r>
    <x v="12"/>
    <s v="2011/07/18"/>
    <x v="9"/>
    <s v="CMS입금"/>
    <s v="90026"/>
    <s v="농협CMS기부"/>
    <m/>
    <n v="7680"/>
    <m/>
    <n v="17380980"/>
  </r>
  <r>
    <x v="12"/>
    <s v="2011/07/21"/>
    <x v="9"/>
    <s v="CMS입금"/>
    <s v="90026"/>
    <s v="농협CMS기부"/>
    <m/>
    <n v="1280"/>
    <m/>
    <n v="17382260"/>
  </r>
  <r>
    <x v="12"/>
    <s v="2011/07/22"/>
    <x v="9"/>
    <s v="재단 인감증명서 및 등기부등본 발급수수료 지출의 건"/>
    <m/>
    <s v="서울서부지방법원"/>
    <m/>
    <n v="25000"/>
    <m/>
    <n v="17407260"/>
  </r>
  <r>
    <x v="12"/>
    <s v="2011/07/25"/>
    <x v="9"/>
    <s v="다날-핸드폰후원"/>
    <s v="90019"/>
    <s v="하나개인기부자"/>
    <m/>
    <n v="89583"/>
    <m/>
    <n v="17496843"/>
  </r>
  <r>
    <x v="12"/>
    <s v="2011/07/26"/>
    <x v="9"/>
    <s v="CMS입금"/>
    <s v="90026"/>
    <s v="농협CMS기부"/>
    <m/>
    <n v="207240"/>
    <m/>
    <n v="17704083"/>
  </r>
  <r>
    <x v="12"/>
    <s v="2011/07/27"/>
    <x v="9"/>
    <s v="캐쉬sos cms 수수료 이체"/>
    <m/>
    <m/>
    <m/>
    <n v="-9860"/>
    <m/>
    <m/>
  </r>
  <r>
    <x v="12"/>
    <s v="2011/07/27"/>
    <x v="9"/>
    <s v="보통예금 이체(하나개인기부자-농협운영비)"/>
    <s v="90055"/>
    <s v="농협운영비"/>
    <m/>
    <n v="500"/>
    <m/>
    <n v="17694723"/>
  </r>
  <r>
    <x v="12"/>
    <s v="2011/07/28"/>
    <x v="9"/>
    <s v="지로후원-이경순"/>
    <s v="90027"/>
    <s v="농협지로기부"/>
    <m/>
    <n v="240"/>
    <m/>
    <n v="17694963"/>
  </r>
  <r>
    <x v="12"/>
    <s v="2011/07/29"/>
    <x v="9"/>
    <s v="쿠기인터내셔날 7월분 관리비(무인경비)"/>
    <s v="10239"/>
    <s v="주식회사 쿠기인터내셔날"/>
    <s v="105-87-13835"/>
    <n v="-150320"/>
    <m/>
    <m/>
  </r>
  <r>
    <x v="12"/>
    <s v="2011/07/29"/>
    <x v="9"/>
    <s v="다날-핸드폰후원"/>
    <s v="90019"/>
    <s v="하나개인기부자"/>
    <m/>
    <n v="58564"/>
    <m/>
    <m/>
  </r>
  <r>
    <x v="12"/>
    <s v="2011/07/29"/>
    <x v="9"/>
    <s v="우리가 만드는 미래 7월분 관리비(무인경비)"/>
    <s v="10529"/>
    <s v="(주) 우리가 만드는 미래"/>
    <s v="105-87-14815"/>
    <n v="-75160"/>
    <m/>
    <m/>
  </r>
  <r>
    <x v="12"/>
    <s v="2011/07/29"/>
    <x v="9"/>
    <s v="보통예금 이체(국민릴레이-씨티개인기부금)"/>
    <s v="90134"/>
    <s v="씨티개인기부금(통합)"/>
    <m/>
    <n v="500"/>
    <m/>
    <m/>
  </r>
  <r>
    <x v="12"/>
    <s v="2011/07/29"/>
    <x v="9"/>
    <s v="보통예금 이체(우리릴레이-씨티개인기부금)"/>
    <s v="90134"/>
    <s v="씨티개인기부금(통합)"/>
    <m/>
    <n v="500"/>
    <m/>
    <m/>
  </r>
  <r>
    <x v="12"/>
    <s v="2011/07/29"/>
    <x v="9"/>
    <s v="보통예금 이체(우리개인기부-씨티개인기부금)"/>
    <s v="90134"/>
    <s v="씨티개인기부금(통합)"/>
    <m/>
    <n v="500"/>
    <m/>
    <m/>
  </r>
  <r>
    <x v="12"/>
    <s v="2011/07/29"/>
    <x v="9"/>
    <s v="보통예금 이체(하나개인기부-씨티개인기부금)"/>
    <s v="90134"/>
    <s v="씨티개인기부금(통합)"/>
    <m/>
    <n v="500"/>
    <m/>
    <n v="17530047"/>
  </r>
  <r>
    <x v="12"/>
    <s v="2011/08/01"/>
    <x v="10"/>
    <s v="트랜스폴로지스틱스 7월분 관리비(무인경비)"/>
    <s v="10528"/>
    <s v="주식회사 트랜스폴로지스틱스"/>
    <s v="105-87-57885"/>
    <n v="-75160"/>
    <m/>
    <n v="17454887"/>
  </r>
  <r>
    <x v="12"/>
    <s v="2011/08/02"/>
    <x v="10"/>
    <s v="CMS입금"/>
    <s v="90026"/>
    <s v="농협CMS기부"/>
    <m/>
    <n v="26640"/>
    <m/>
    <n v="17481527"/>
  </r>
  <r>
    <x v="12"/>
    <s v="2011/08/08"/>
    <x v="10"/>
    <s v="케이씨피-신용카드-정일용"/>
    <s v="90016"/>
    <s v="국민기부금"/>
    <m/>
    <n v="385"/>
    <m/>
    <m/>
  </r>
  <r>
    <x v="12"/>
    <s v="2011/08/08"/>
    <x v="10"/>
    <s v="케이씨피-신용카드-유지영"/>
    <s v="90016"/>
    <s v="국민기부금"/>
    <m/>
    <n v="374"/>
    <m/>
    <m/>
  </r>
  <r>
    <x v="12"/>
    <s v="2011/08/08"/>
    <x v="10"/>
    <s v="CMS입금"/>
    <s v="90026"/>
    <s v="농협CMS기부"/>
    <m/>
    <n v="24480"/>
    <m/>
    <n v="17506766"/>
  </r>
  <r>
    <x v="12"/>
    <s v="2011/08/10"/>
    <x v="10"/>
    <s v="8월분 웅진코웨이 정수기 렌탈비 지출의 건"/>
    <s v="10429"/>
    <s v="웅진코웨이(주)"/>
    <s v="307-81-06054"/>
    <n v="35000"/>
    <m/>
    <m/>
  </r>
  <r>
    <x v="12"/>
    <s v="2011/08/10"/>
    <x v="10"/>
    <s v="지로후원-홍근표"/>
    <s v="90027"/>
    <s v="농협지로기부"/>
    <m/>
    <n v="240"/>
    <m/>
    <n v="17542006"/>
  </r>
  <r>
    <x v="12"/>
    <s v="2011/08/11"/>
    <x v="10"/>
    <s v="CMS입금"/>
    <s v="90026"/>
    <s v="농협CMS기부"/>
    <m/>
    <n v="26640"/>
    <m/>
    <n v="17568646"/>
  </r>
  <r>
    <x v="12"/>
    <s v="2011/08/16"/>
    <x v="10"/>
    <s v="금융결제원 cms정보이용료 지출의 건_x000a__x000a_"/>
    <s v="10323"/>
    <s v="사단법인 금융결제원"/>
    <s v="129-82-08745"/>
    <n v="69410"/>
    <m/>
    <n v="17638056"/>
  </r>
  <r>
    <x v="12"/>
    <s v="2011/08/17"/>
    <x v="10"/>
    <s v="재단건물 캡스(보안경비)용역비"/>
    <s v="10051"/>
    <s v="(주)에이디티캡스서부"/>
    <s v="110-85-06588"/>
    <n v="451000"/>
    <m/>
    <m/>
  </r>
  <r>
    <x v="12"/>
    <s v="2011/08/17"/>
    <x v="10"/>
    <s v="CMS입금"/>
    <s v="90026"/>
    <s v="농협CMS기부"/>
    <m/>
    <n v="7200"/>
    <m/>
    <n v="18096256"/>
  </r>
  <r>
    <x v="12"/>
    <s v="2011/08/18"/>
    <x v="10"/>
    <s v="캐쉬sos cms 수수료 이체"/>
    <m/>
    <m/>
    <m/>
    <n v="-19460"/>
    <m/>
    <n v="18076796"/>
  </r>
  <r>
    <x v="12"/>
    <s v="2011/08/22"/>
    <x v="10"/>
    <s v="보통예금 이체(하나개인기부-씨티개인기부금)"/>
    <s v="90134"/>
    <s v="씨티개인기부금(통합)"/>
    <m/>
    <n v="500"/>
    <m/>
    <m/>
  </r>
  <r>
    <x v="12"/>
    <s v="2011/08/22"/>
    <x v="10"/>
    <s v="보통예금 이체(우리릴레이-씨티개인기부금)"/>
    <s v="90134"/>
    <s v="씨티개인기부금(통합)"/>
    <m/>
    <n v="500"/>
    <m/>
    <n v="18077796"/>
  </r>
  <r>
    <x v="12"/>
    <s v="2011/08/23"/>
    <x v="10"/>
    <s v="CMS입금"/>
    <s v="90026"/>
    <s v="농협CMS기부"/>
    <m/>
    <n v="1140"/>
    <m/>
    <m/>
  </r>
  <r>
    <x v="12"/>
    <s v="2011/08/23"/>
    <x v="10"/>
    <s v="케이씨피-신용카드-이상흔"/>
    <s v="90016"/>
    <s v="국민기부금"/>
    <m/>
    <n v="352"/>
    <m/>
    <m/>
  </r>
  <r>
    <x v="12"/>
    <s v="2011/08/23"/>
    <x v="10"/>
    <s v="지로후원-무명"/>
    <s v="90027"/>
    <s v="농협지로기부"/>
    <m/>
    <n v="240"/>
    <m/>
    <n v="18079528"/>
  </r>
  <r>
    <x v="12"/>
    <s v="2011/08/24"/>
    <x v="10"/>
    <s v="다날-핸드폰후원"/>
    <s v="90019"/>
    <s v="하나개인기부자"/>
    <m/>
    <n v="11533"/>
    <m/>
    <n v="18091061"/>
  </r>
  <r>
    <x v="12"/>
    <s v="2011/08/26"/>
    <x v="10"/>
    <s v="CMS입금"/>
    <s v="90026"/>
    <s v="농협CMS기부"/>
    <m/>
    <n v="206200"/>
    <m/>
    <n v="18297261"/>
  </r>
  <r>
    <x v="12"/>
    <s v="2011/08/30"/>
    <x v="10"/>
    <s v="지로후원-이경순"/>
    <s v="90027"/>
    <s v="농협지로기부"/>
    <m/>
    <n v="240"/>
    <m/>
    <m/>
  </r>
  <r>
    <x v="12"/>
    <s v="2011/08/30"/>
    <x v="10"/>
    <s v="지로후원-최병옥"/>
    <s v="90027"/>
    <s v="농협지로기부"/>
    <m/>
    <n v="240"/>
    <m/>
    <m/>
  </r>
  <r>
    <x v="12"/>
    <s v="2011/08/30"/>
    <x v="10"/>
    <s v="지로후원-최학연"/>
    <s v="90027"/>
    <s v="농협지로기부"/>
    <m/>
    <n v="240"/>
    <m/>
    <n v="18297981"/>
  </r>
  <r>
    <x v="12"/>
    <s v="2011/08/31"/>
    <x v="10"/>
    <s v="은행송금수수료 지출의 건"/>
    <m/>
    <s v="우체국"/>
    <m/>
    <n v="3500"/>
    <m/>
    <m/>
  </r>
  <r>
    <x v="12"/>
    <s v="2011/08/31"/>
    <x v="10"/>
    <s v="CMS입금"/>
    <s v="90026"/>
    <s v="농협CMS기부"/>
    <m/>
    <n v="26740"/>
    <m/>
    <m/>
  </r>
  <r>
    <x v="12"/>
    <s v="2011/08/31"/>
    <x v="10"/>
    <s v="다날-핸드폰후원"/>
    <s v="90019"/>
    <s v="하나개인기부자"/>
    <m/>
    <n v="16328"/>
    <m/>
    <m/>
  </r>
  <r>
    <x v="12"/>
    <s v="2011/08/31"/>
    <x v="10"/>
    <s v="쿠기인터내셔날 8월분 관리비(무인경비)"/>
    <s v="10239"/>
    <s v="주식회사 쿠기인터내셔날"/>
    <s v="105-87-13835"/>
    <n v="-150320"/>
    <m/>
    <m/>
  </r>
  <r>
    <x v="12"/>
    <s v="2011/08/31"/>
    <x v="10"/>
    <s v="우리가 만드는 미래 8월분 관리비(무인경비)"/>
    <s v="10529"/>
    <s v="(주) 우리가 만드는 미래"/>
    <s v="105-87-14815"/>
    <n v="-75160"/>
    <m/>
    <m/>
  </r>
  <r>
    <x v="12"/>
    <s v="2011/08/31"/>
    <x v="10"/>
    <s v="트랜스폴로지스틱스 8월분 관리비(무인경비)"/>
    <s v="10528"/>
    <s v="주식회사 트랜스폴로지스틱스"/>
    <s v="105-87-57885"/>
    <n v="-75160"/>
    <m/>
    <n v="18043909"/>
  </r>
  <r>
    <x v="12"/>
    <s v="2011/09/01"/>
    <x v="2"/>
    <s v="캐쉬sos cms 수수료 이체"/>
    <m/>
    <m/>
    <m/>
    <n v="-10280"/>
    <m/>
    <n v="18033629"/>
  </r>
  <r>
    <x v="12"/>
    <s v="2011/09/02"/>
    <x v="2"/>
    <s v="공인인증서 갱신비용 지출의 건"/>
    <s v="10100"/>
    <s v="농협중앙회"/>
    <s v="104-82-07072"/>
    <n v="4400"/>
    <m/>
    <m/>
  </r>
  <r>
    <x v="12"/>
    <s v="2011/09/02"/>
    <x v="2"/>
    <s v="보통예금 이체(국민릴레이-씨티개인기부금)"/>
    <s v="90134"/>
    <s v="씨티개인기부금(통합)"/>
    <m/>
    <n v="500"/>
    <m/>
    <m/>
  </r>
  <r>
    <x v="12"/>
    <s v="2011/09/02"/>
    <x v="2"/>
    <s v="보통예금 이체(하나개인기부-씨티개인기부금)"/>
    <s v="90134"/>
    <s v="씨티개인기부금(통합)"/>
    <m/>
    <n v="500"/>
    <m/>
    <n v="18039029"/>
  </r>
  <r>
    <x v="12"/>
    <s v="2011/09/06"/>
    <x v="2"/>
    <s v="CMS입금"/>
    <s v="90026"/>
    <s v="농협CMS기부"/>
    <m/>
    <n v="24260"/>
    <m/>
    <n v="18063289"/>
  </r>
  <r>
    <x v="12"/>
    <s v="2011/09/07"/>
    <x v="2"/>
    <s v="재단건물 캡스(보안경비)용역비"/>
    <s v="10051"/>
    <s v="(주)에이디티캡스서부"/>
    <s v="110-85-06588"/>
    <n v="451000"/>
    <m/>
    <n v="18514289"/>
  </r>
  <r>
    <x v="12"/>
    <s v="2011/09/08"/>
    <x v="2"/>
    <s v="캐쉬sos cms 수수료 이체"/>
    <m/>
    <m/>
    <m/>
    <n v="-19620"/>
    <m/>
    <m/>
  </r>
  <r>
    <x v="12"/>
    <s v="2011/09/08"/>
    <x v="2"/>
    <s v="케이씨피-신용카드-정일용"/>
    <s v="90016"/>
    <s v="국민기부금"/>
    <m/>
    <n v="385"/>
    <m/>
    <n v="18495054"/>
  </r>
  <r>
    <x v="12"/>
    <s v="2011/09/14"/>
    <x v="2"/>
    <s v="CMS입금"/>
    <s v="90026"/>
    <s v="농협CMS기부"/>
    <m/>
    <n v="27000"/>
    <m/>
    <m/>
  </r>
  <r>
    <x v="12"/>
    <s v="2011/09/14"/>
    <x v="2"/>
    <s v="9월분 웅진코웨이 정수기 렌탈비 지출의 건"/>
    <s v="10429"/>
    <s v="웅진코웨이(주)"/>
    <s v="307-81-06054"/>
    <n v="35000"/>
    <m/>
    <n v="18557054"/>
  </r>
  <r>
    <x v="12"/>
    <s v="2011/09/15"/>
    <x v="2"/>
    <s v="금융결제원 cms정보이용료 지출의 건_x000a__x000a_"/>
    <s v="10323"/>
    <s v="사단법인 금융결제원"/>
    <s v="129-82-08745"/>
    <n v="66000"/>
    <m/>
    <n v="18623054"/>
  </r>
  <r>
    <x v="12"/>
    <s v="2011/09/16"/>
    <x v="2"/>
    <s v="CMS입금"/>
    <s v="90026"/>
    <s v="농협CMS기부"/>
    <m/>
    <n v="7420"/>
    <m/>
    <n v="18630474"/>
  </r>
  <r>
    <x v="12"/>
    <s v="2011/09/21"/>
    <x v="2"/>
    <s v="CMS입금"/>
    <s v="90026"/>
    <s v="농협CMS기부"/>
    <m/>
    <n v="1140"/>
    <m/>
    <n v="18631614"/>
  </r>
  <r>
    <x v="12"/>
    <s v="2011/09/27"/>
    <x v="2"/>
    <s v="CMS입금"/>
    <s v="90026"/>
    <s v="농협CMS기부"/>
    <m/>
    <n v="205320"/>
    <m/>
    <n v="18836934"/>
  </r>
  <r>
    <x v="12"/>
    <s v="2011/09/28"/>
    <x v="2"/>
    <s v="지로후원-이경순"/>
    <s v="90027"/>
    <s v="농협지로기부"/>
    <m/>
    <n v="240"/>
    <m/>
    <n v="18837174"/>
  </r>
  <r>
    <x v="12"/>
    <s v="2011/09/30"/>
    <x v="2"/>
    <s v="다날-핸드폰후원"/>
    <s v="90019"/>
    <s v="하나개인기부자"/>
    <m/>
    <n v="440"/>
    <m/>
    <m/>
  </r>
  <r>
    <x v="12"/>
    <s v="2011/09/30"/>
    <x v="2"/>
    <s v="쿠기인터내셔날 9월분 관리비(무인경비)"/>
    <s v="10239"/>
    <s v="주식회사 쿠기인터내셔날"/>
    <s v="105-87-13835"/>
    <n v="-150320"/>
    <m/>
    <m/>
  </r>
  <r>
    <x v="12"/>
    <s v="2011/09/30"/>
    <x v="2"/>
    <s v="우리가 만드는 미래 9월분 관리비(무인경비)"/>
    <s v="10529"/>
    <s v="(주) 우리가 만드는 미래"/>
    <s v="105-87-14815"/>
    <n v="-75160"/>
    <m/>
    <m/>
  </r>
  <r>
    <x v="12"/>
    <s v="2011/09/30"/>
    <x v="2"/>
    <s v="트랜스폴로지스틱스 9월분 관리비(무인경비)"/>
    <s v="10528"/>
    <s v="주식회사 트랜스폴로지스틱스"/>
    <s v="105-87-57885"/>
    <n v="-75160"/>
    <m/>
    <n v="18536974"/>
  </r>
  <r>
    <x v="12"/>
    <s v="2011/10/04"/>
    <x v="11"/>
    <s v="CMS입금"/>
    <s v="90026"/>
    <s v="농협CMS기부"/>
    <m/>
    <n v="26120"/>
    <m/>
    <n v="18563094"/>
  </r>
  <r>
    <x v="12"/>
    <s v="2011/10/05"/>
    <x v="11"/>
    <s v="캐쉬sos cms 수수료 이체"/>
    <m/>
    <m/>
    <m/>
    <n v="-10720"/>
    <m/>
    <m/>
  </r>
  <r>
    <x v="12"/>
    <s v="2011/10/05"/>
    <x v="11"/>
    <s v="지로후원-최병옥"/>
    <s v="90027"/>
    <s v="농협지로기부"/>
    <m/>
    <n v="240"/>
    <m/>
    <n v="18552614"/>
  </r>
  <r>
    <x v="12"/>
    <s v="2011/10/06"/>
    <x v="11"/>
    <s v="재단건물 캡스(보안경비)용역비"/>
    <s v="10051"/>
    <s v="(주)에이디티캡스서부"/>
    <s v="110-85-06588"/>
    <n v="451000"/>
    <m/>
    <m/>
  </r>
  <r>
    <x v="12"/>
    <s v="2011/10/06"/>
    <x v="11"/>
    <s v="CMS입금"/>
    <s v="90026"/>
    <s v="농협CMS기부"/>
    <m/>
    <n v="22440"/>
    <m/>
    <n v="19026054"/>
  </r>
  <r>
    <x v="12"/>
    <s v="2011/10/07"/>
    <x v="11"/>
    <s v="캐쉬sos cms 수수료 이체"/>
    <m/>
    <m/>
    <m/>
    <n v="-17940"/>
    <m/>
    <n v="19008114"/>
  </r>
  <r>
    <x v="12"/>
    <s v="2011/10/10"/>
    <x v="11"/>
    <s v="은행잔액증명서 발급수수료 지출의 건"/>
    <m/>
    <s v="제일은행"/>
    <m/>
    <n v="2000"/>
    <m/>
    <m/>
  </r>
  <r>
    <x v="12"/>
    <s v="2011/10/10"/>
    <x v="11"/>
    <s v="케이씨피-신용카드-정일용"/>
    <s v="90016"/>
    <s v="국민기부금"/>
    <m/>
    <n v="385"/>
    <m/>
    <m/>
  </r>
  <r>
    <x v="12"/>
    <s v="2011/10/10"/>
    <x v="11"/>
    <s v="9월분 웅진코웨이 정수기 렌탈비 지출의 건"/>
    <s v="10429"/>
    <s v="웅진코웨이(주)"/>
    <s v="307-81-06054"/>
    <n v="35000"/>
    <m/>
    <n v="19045499"/>
  </r>
  <r>
    <x v="12"/>
    <s v="2011/10/11"/>
    <x v="11"/>
    <s v="CMS입금"/>
    <s v="90026"/>
    <s v="농협CMS기부"/>
    <m/>
    <n v="26160"/>
    <m/>
    <n v="19071659"/>
  </r>
  <r>
    <x v="12"/>
    <s v="2011/10/17"/>
    <x v="11"/>
    <s v="금융결제원 cms정보이용료 지출의 건_x000a__x000a_"/>
    <s v="10323"/>
    <s v="사단법인 금융결제원"/>
    <s v="129-82-08745"/>
    <n v="66000"/>
    <m/>
    <n v="19137659"/>
  </r>
  <r>
    <x v="12"/>
    <s v="2011/10/18"/>
    <x v="11"/>
    <s v="CMS입금"/>
    <s v="90026"/>
    <s v="농협CMS기부"/>
    <m/>
    <n v="7100"/>
    <m/>
    <n v="19144759"/>
  </r>
  <r>
    <x v="12"/>
    <s v="2011/10/21"/>
    <x v="11"/>
    <s v="CMS입금"/>
    <s v="90026"/>
    <s v="농협CMS기부"/>
    <m/>
    <n v="1140"/>
    <m/>
    <n v="19145899"/>
  </r>
  <r>
    <x v="12"/>
    <s v="2011/10/24"/>
    <x v="11"/>
    <s v="케이씨피-신용카드-이현혜"/>
    <s v="90016"/>
    <s v="국민기부금"/>
    <m/>
    <n v="3520"/>
    <m/>
    <n v="19149419"/>
  </r>
  <r>
    <x v="12"/>
    <s v="2011/10/26"/>
    <x v="11"/>
    <s v="CMS입금"/>
    <s v="90026"/>
    <s v="농협CMS기부"/>
    <m/>
    <n v="206200"/>
    <m/>
    <m/>
  </r>
  <r>
    <x v="12"/>
    <s v="2011/10/26"/>
    <x v="11"/>
    <s v="지로후원-이경순"/>
    <s v="90027"/>
    <s v="농협지로기부"/>
    <m/>
    <n v="240"/>
    <m/>
    <n v="19355859"/>
  </r>
  <r>
    <x v="12"/>
    <s v="2011/10/31"/>
    <x v="11"/>
    <s v="쿠기인터내셔날 10월분 관리비(무인경비)"/>
    <s v="10239"/>
    <s v="주식회사 쿠기인터내셔날"/>
    <s v="105-87-13835"/>
    <n v="-150320"/>
    <m/>
    <m/>
  </r>
  <r>
    <x v="12"/>
    <s v="2011/10/31"/>
    <x v="11"/>
    <s v="트랜스폴로지스틱스 10월분 관리비(무인경비)"/>
    <s v="10528"/>
    <s v="주식회사 트랜스폴로지스틱스"/>
    <s v="105-87-57885"/>
    <n v="-75160"/>
    <m/>
    <m/>
  </r>
  <r>
    <x v="12"/>
    <s v="2011/10/31"/>
    <x v="11"/>
    <s v="우리가 만드는 미래 10월분 관리비(무인경비)"/>
    <s v="10529"/>
    <s v="(주) 우리가 만드는 미래"/>
    <s v="105-87-14815"/>
    <n v="-75160"/>
    <m/>
    <n v="19055219"/>
  </r>
  <r>
    <x v="12"/>
    <s v="2011/11/01"/>
    <x v="3"/>
    <s v="CMS입금"/>
    <s v="90026"/>
    <s v="농협CMS기부"/>
    <m/>
    <n v="26600"/>
    <m/>
    <n v="19081819"/>
  </r>
  <r>
    <x v="12"/>
    <s v="2011/11/02"/>
    <x v="3"/>
    <s v="캐쉬sos cms 수수료 이체"/>
    <m/>
    <m/>
    <m/>
    <n v="-10020"/>
    <m/>
    <m/>
  </r>
  <r>
    <x v="12"/>
    <s v="2011/11/02"/>
    <x v="3"/>
    <s v="지로후원-최병옥"/>
    <s v="90027"/>
    <s v="농협지로기부"/>
    <m/>
    <n v="240"/>
    <m/>
    <n v="19072039"/>
  </r>
  <r>
    <x v="12"/>
    <s v="2011/11/03"/>
    <x v="3"/>
    <s v="재단건물 캡스(보안경비)용역비"/>
    <s v="10051"/>
    <s v="(주)에이디티캡스서부"/>
    <s v="110-85-06588"/>
    <n v="451000"/>
    <m/>
    <n v="19523039"/>
  </r>
  <r>
    <x v="12"/>
    <s v="2011/11/08"/>
    <x v="3"/>
    <s v="케이씨피-신용카드-정일용"/>
    <s v="90016"/>
    <s v="국민기부금"/>
    <m/>
    <n v="385"/>
    <m/>
    <m/>
  </r>
  <r>
    <x v="12"/>
    <s v="2011/11/08"/>
    <x v="3"/>
    <s v="케이씨피-신용카드-김제희"/>
    <s v="90016"/>
    <s v="국민개인기부"/>
    <m/>
    <n v="1760"/>
    <m/>
    <m/>
  </r>
  <r>
    <x v="12"/>
    <s v="2011/11/08"/>
    <x v="3"/>
    <s v="CMS입금"/>
    <s v="90026"/>
    <s v="농협CMS기부"/>
    <m/>
    <n v="23800"/>
    <m/>
    <n v="19548984"/>
  </r>
  <r>
    <x v="12"/>
    <s v="2011/11/10"/>
    <x v="3"/>
    <s v="캐쉬sos cms 수수료 이체"/>
    <m/>
    <m/>
    <m/>
    <n v="-19040"/>
    <m/>
    <m/>
  </r>
  <r>
    <x v="12"/>
    <s v="2011/11/10"/>
    <x v="3"/>
    <s v="계좌간이체-기부금이체"/>
    <s v="90013"/>
    <s v="우리릴레이기부"/>
    <m/>
    <n v="500"/>
    <m/>
    <m/>
  </r>
  <r>
    <x v="12"/>
    <s v="2011/11/10"/>
    <x v="3"/>
    <s v="계좌간이체-기부금이체"/>
    <s v="90018"/>
    <s v="우리개인기부"/>
    <m/>
    <n v="500"/>
    <m/>
    <m/>
  </r>
  <r>
    <x v="12"/>
    <s v="2011/11/10"/>
    <x v="3"/>
    <s v="계좌간이체-기부금이체"/>
    <s v="90014"/>
    <s v="국민릴레이기부"/>
    <m/>
    <n v="500"/>
    <m/>
    <m/>
  </r>
  <r>
    <x v="12"/>
    <s v="2011/11/10"/>
    <x v="3"/>
    <s v="10월분 웅진코웨이 정수기 렌탈비 지출의 건"/>
    <s v="10429"/>
    <s v="웅진코웨이(주)"/>
    <s v="307-81-06054"/>
    <n v="35000"/>
    <m/>
    <n v="19566444"/>
  </r>
  <r>
    <x v="12"/>
    <s v="2011/11/11"/>
    <x v="3"/>
    <s v="CMS입금"/>
    <s v="90026"/>
    <s v="농협CMS기부"/>
    <m/>
    <n v="25840"/>
    <m/>
    <n v="19592284"/>
  </r>
  <r>
    <x v="12"/>
    <s v="2011/11/15"/>
    <x v="3"/>
    <s v="케이씨피-신용카드-박소영"/>
    <s v="90016"/>
    <s v="국민기부금"/>
    <m/>
    <n v="3850"/>
    <m/>
    <m/>
  </r>
  <r>
    <x v="12"/>
    <s v="2011/11/15"/>
    <x v="3"/>
    <s v="금융결제원 cms정보이용료 지출의 건_x000a__x000a_"/>
    <s v="10323"/>
    <s v="사단법인 금융결제원"/>
    <s v="129-82-08745"/>
    <n v="66000"/>
    <m/>
    <n v="19662134"/>
  </r>
  <r>
    <x v="12"/>
    <s v="2011/11/16"/>
    <x v="3"/>
    <s v="CMS입금"/>
    <s v="90026"/>
    <s v="농협CMS기부"/>
    <m/>
    <n v="7600"/>
    <m/>
    <n v="19669734"/>
  </r>
  <r>
    <x v="12"/>
    <s v="2011/11/18"/>
    <x v="3"/>
    <s v="등기부등본 발급수수료 지출의 건"/>
    <m/>
    <s v="대법원 인터넷등기소"/>
    <m/>
    <n v="4000"/>
    <m/>
    <n v="19673734"/>
  </r>
  <r>
    <x v="12"/>
    <s v="2011/11/22"/>
    <x v="3"/>
    <s v="CMS입금"/>
    <s v="90026"/>
    <s v="농협CMS기부"/>
    <m/>
    <n v="1240"/>
    <m/>
    <m/>
  </r>
  <r>
    <x v="12"/>
    <s v="2011/11/22"/>
    <x v="3"/>
    <s v="지로후원-무명"/>
    <s v="90027"/>
    <s v="농협지로기부"/>
    <m/>
    <n v="240"/>
    <m/>
    <n v="19675214"/>
  </r>
  <r>
    <x v="12"/>
    <s v="2011/11/25"/>
    <x v="3"/>
    <s v="등기부등본,인감증명서 발급수수료 지출의 건"/>
    <m/>
    <s v="서부지방법원 등기과"/>
    <m/>
    <n v="10000"/>
    <m/>
    <m/>
  </r>
  <r>
    <x v="12"/>
    <s v="2011/11/25"/>
    <x v="3"/>
    <s v="등기부등본,인감증명서 발급수수료 지출의 건"/>
    <m/>
    <s v="서부지방법원 등기과"/>
    <m/>
    <n v="30000"/>
    <m/>
    <m/>
  </r>
  <r>
    <x v="12"/>
    <s v="2011/11/25"/>
    <x v="3"/>
    <s v="등기부등본,인감증명서 발급수수료 지출의 건"/>
    <m/>
    <s v="서교동 주민센타"/>
    <m/>
    <n v="1600"/>
    <m/>
    <m/>
  </r>
  <r>
    <x v="12"/>
    <s v="2011/11/25"/>
    <x v="3"/>
    <s v="계좌간이체-이자"/>
    <s v="90035"/>
    <s v="우체국-우정사업다문화"/>
    <m/>
    <n v="400"/>
    <m/>
    <m/>
  </r>
  <r>
    <x v="12"/>
    <s v="2011/11/25"/>
    <x v="3"/>
    <s v="11다문화안전망 단체 사업이자 반납금-생명의향기 이체수수료"/>
    <s v="10455"/>
    <s v="기타"/>
    <m/>
    <n v="500"/>
    <m/>
    <m/>
  </r>
  <r>
    <x v="12"/>
    <s v="2011/11/25"/>
    <x v="3"/>
    <s v="계좌간이체-기부금이체"/>
    <s v="90014"/>
    <s v="국민릴레이기부"/>
    <m/>
    <n v="500"/>
    <m/>
    <m/>
  </r>
  <r>
    <x v="12"/>
    <s v="2011/11/25"/>
    <x v="3"/>
    <s v="계좌간이체-기부금이체"/>
    <s v="90016"/>
    <s v="국민개인기부"/>
    <m/>
    <n v="500"/>
    <m/>
    <m/>
  </r>
  <r>
    <x v="12"/>
    <s v="2011/11/25"/>
    <x v="3"/>
    <s v="계좌간이체-기부금이체"/>
    <s v="90029"/>
    <s v="국민CJ기부"/>
    <m/>
    <n v="500"/>
    <m/>
    <m/>
  </r>
  <r>
    <x v="12"/>
    <s v="2011/11/25"/>
    <x v="3"/>
    <s v="계좌간이체-기부금이체"/>
    <s v="90028"/>
    <s v="국민만만클럽/(국민YK기부)"/>
    <m/>
    <n v="500"/>
    <m/>
    <m/>
  </r>
  <r>
    <x v="12"/>
    <s v="2011/11/25"/>
    <x v="3"/>
    <s v="계좌간이체-기부금이체"/>
    <m/>
    <m/>
    <m/>
    <n v="500"/>
    <m/>
    <m/>
  </r>
  <r>
    <x v="12"/>
    <s v="2011/11/25"/>
    <x v="3"/>
    <s v="계좌간이체-기부금이체"/>
    <m/>
    <m/>
    <m/>
    <n v="500"/>
    <m/>
    <m/>
  </r>
  <r>
    <x v="12"/>
    <s v="2011/11/25"/>
    <x v="3"/>
    <s v="계좌간이체-기부금이체"/>
    <m/>
    <m/>
    <m/>
    <n v="500"/>
    <m/>
    <n v="19721214"/>
  </r>
  <r>
    <x v="12"/>
    <s v="2011/11/28"/>
    <x v="3"/>
    <s v="CMS입금"/>
    <s v="90026"/>
    <s v="농협CMS기부"/>
    <m/>
    <n v="200080"/>
    <m/>
    <n v="19921294"/>
  </r>
  <r>
    <x v="12"/>
    <s v="2011/11/29"/>
    <x v="3"/>
    <s v="지로후원-이경순"/>
    <s v="90027"/>
    <s v="농협지로기부"/>
    <m/>
    <n v="240"/>
    <m/>
    <n v="19921534"/>
  </r>
  <r>
    <x v="12"/>
    <s v="2011/11/30"/>
    <x v="3"/>
    <s v="캐쉬sos cms 수수료 이체"/>
    <m/>
    <m/>
    <m/>
    <n v="-8720"/>
    <m/>
    <m/>
  </r>
  <r>
    <x v="12"/>
    <s v="2011/11/30"/>
    <x v="3"/>
    <s v="트랜스폴로지스틱스 11월분 관리비(무인경비)"/>
    <s v="10528"/>
    <s v="주식회사 트랜스폴로지스틱스"/>
    <s v="105-87-57885"/>
    <n v="-75160"/>
    <m/>
    <m/>
  </r>
  <r>
    <x v="12"/>
    <s v="2011/11/30"/>
    <x v="3"/>
    <s v="우리가 만드는 미래 11월분 관리비(무인경비)"/>
    <s v="10529"/>
    <s v="(주) 우리가 만드는 미래"/>
    <s v="105-87-14815"/>
    <n v="-75160"/>
    <m/>
    <m/>
  </r>
  <r>
    <x v="12"/>
    <s v="2011/11/30"/>
    <x v="3"/>
    <s v="쿠기인터내셔날 11월분 관리비(무인경비)"/>
    <s v="10239"/>
    <s v="주식회사 쿠기인터내셔날"/>
    <s v="105-87-13835"/>
    <n v="-150320"/>
    <m/>
    <n v="19612174"/>
  </r>
  <r>
    <x v="12"/>
    <s v="2011/12/01"/>
    <x v="4"/>
    <s v="CMS입금"/>
    <s v="90026"/>
    <s v="농협CMS기부"/>
    <m/>
    <n v="25660"/>
    <m/>
    <n v="19637834"/>
  </r>
  <r>
    <x v="12"/>
    <s v="2011/12/05"/>
    <x v="4"/>
    <s v="지로후원-무명"/>
    <s v="90027"/>
    <s v="농협지로기부"/>
    <m/>
    <n v="240"/>
    <m/>
    <n v="19638074"/>
  </r>
  <r>
    <x v="12"/>
    <s v="2011/12/06"/>
    <x v="4"/>
    <s v="CMS입금"/>
    <s v="90026"/>
    <s v="농협CMS기부"/>
    <m/>
    <n v="23280"/>
    <m/>
    <m/>
  </r>
  <r>
    <x v="12"/>
    <s v="2011/12/06"/>
    <x v="4"/>
    <s v="지로후원-조호성"/>
    <s v="90027"/>
    <s v="농협지로기부"/>
    <m/>
    <n v="240"/>
    <m/>
    <n v="19661594"/>
  </r>
  <r>
    <x v="12"/>
    <s v="2011/12/08"/>
    <x v="4"/>
    <s v="케이씨피-신용카드-정일용"/>
    <s v="90016"/>
    <s v="국민기부금"/>
    <m/>
    <n v="138600"/>
    <m/>
    <m/>
  </r>
  <r>
    <x v="12"/>
    <s v="2011/12/08"/>
    <x v="4"/>
    <s v="케이씨피-신용카드-정일용 외"/>
    <s v="90016"/>
    <s v="국민기부금"/>
    <m/>
    <n v="2288"/>
    <m/>
    <n v="19802482"/>
  </r>
  <r>
    <x v="12"/>
    <s v="2011/12/09"/>
    <x v="4"/>
    <s v="캐쉬sos cms 수수료 이체"/>
    <m/>
    <m/>
    <m/>
    <n v="-18280"/>
    <m/>
    <n v="19784202"/>
  </r>
  <r>
    <x v="12"/>
    <s v="2011/12/12"/>
    <x v="4"/>
    <s v="재단건물 캡스(보안경비)용역비"/>
    <s v="10051"/>
    <s v="(주)에이디티캡스서부"/>
    <s v="110-85-06588"/>
    <n v="451000"/>
    <m/>
    <m/>
  </r>
  <r>
    <x v="12"/>
    <s v="2011/12/12"/>
    <x v="4"/>
    <s v="12월분 웅진코웨이 정수기 렌탈비 지출의 건"/>
    <s v="10429"/>
    <s v="웅진코웨이(주)"/>
    <s v="307-81-06054"/>
    <n v="35000"/>
    <m/>
    <n v="20270202"/>
  </r>
  <r>
    <x v="12"/>
    <s v="2011/12/13"/>
    <x v="4"/>
    <s v="CMS입금"/>
    <s v="90026"/>
    <s v="농협CMS기부"/>
    <m/>
    <n v="26140"/>
    <m/>
    <n v="20296342"/>
  </r>
  <r>
    <x v="12"/>
    <s v="2011/12/15"/>
    <x v="4"/>
    <s v="금융결제원 cms정보이용료 지출의 건_x000a__x000a_"/>
    <s v="10323"/>
    <s v="사단법인 금융결제원"/>
    <s v="129-82-08745"/>
    <n v="66000"/>
    <m/>
    <m/>
  </r>
  <r>
    <x v="12"/>
    <s v="2011/12/15"/>
    <x v="4"/>
    <s v="케이씨피-신용카드-서은경"/>
    <s v="90016"/>
    <s v="국민기부금"/>
    <m/>
    <n v="3850"/>
    <m/>
    <n v="20366192"/>
  </r>
  <r>
    <x v="12"/>
    <s v="2011/12/16"/>
    <x v="4"/>
    <s v="CMS입금"/>
    <s v="90026"/>
    <s v="농협CMS기부"/>
    <m/>
    <n v="7060"/>
    <m/>
    <n v="20373252"/>
  </r>
  <r>
    <x v="12"/>
    <s v="2011/12/21"/>
    <x v="4"/>
    <s v="CMS입금"/>
    <s v="90026"/>
    <s v="농협CMS기부"/>
    <m/>
    <n v="1220"/>
    <m/>
    <n v="20374472"/>
  </r>
  <r>
    <x v="12"/>
    <s v="2011/12/23"/>
    <x v="4"/>
    <s v="케이씨피-신용카드-이상흔 외"/>
    <s v="90016"/>
    <s v="국민개인기부"/>
    <m/>
    <n v="5252"/>
    <m/>
    <n v="20379724"/>
  </r>
  <r>
    <x v="12"/>
    <s v="2011/12/26"/>
    <x v="4"/>
    <s v="지로후원-최학연"/>
    <s v="90027"/>
    <s v="농협지로기부"/>
    <m/>
    <n v="240"/>
    <m/>
    <n v="20379964"/>
  </r>
  <r>
    <x v="12"/>
    <s v="2011/12/27"/>
    <x v="4"/>
    <s v="CMS입금"/>
    <s v="90026"/>
    <s v="농협CMS기부"/>
    <m/>
    <n v="200020"/>
    <m/>
    <n v="20579984"/>
  </r>
  <r>
    <x v="12"/>
    <s v="2011/12/28"/>
    <x v="4"/>
    <s v="캐쉬sos cms 수수료 이체"/>
    <m/>
    <m/>
    <m/>
    <n v="-8920"/>
    <m/>
    <n v="20571064"/>
  </r>
  <r>
    <x v="12"/>
    <s v="2011/12/29"/>
    <x v="4"/>
    <s v="농협 지로 수수료"/>
    <s v="90027"/>
    <s v="농협지로기부"/>
    <m/>
    <n v="240"/>
    <m/>
    <n v="20571304"/>
  </r>
  <r>
    <x v="12"/>
    <s v="2011/12/30"/>
    <x v="4"/>
    <s v="농협 지로 수수료"/>
    <s v="90027"/>
    <s v="농협지로기부"/>
    <m/>
    <n v="240"/>
    <m/>
    <m/>
  </r>
  <r>
    <x v="12"/>
    <s v="2011/12/30"/>
    <x v="4"/>
    <s v="우리가 만드는 미래 12월분 관리비(무인경비)"/>
    <s v="10529"/>
    <s v="(주) 우리가 만드는 미래"/>
    <s v="105-87-14815"/>
    <n v="-75160"/>
    <m/>
    <m/>
  </r>
  <r>
    <x v="12"/>
    <s v="2011/12/30"/>
    <x v="4"/>
    <s v="쿠기인터내셔날 12월분 관리비(무인경비)"/>
    <s v="10239"/>
    <s v="주식회사 쿠기인터내셔날"/>
    <s v="105-87-13835"/>
    <n v="-150320"/>
    <m/>
    <n v="20346064"/>
  </r>
  <r>
    <x v="13"/>
    <s v="2011/01/21"/>
    <x v="5"/>
    <s v="신문구독료 지급의 건-1월분"/>
    <m/>
    <s v="한겨레 서교지국"/>
    <m/>
    <n v="15000"/>
    <m/>
    <m/>
  </r>
  <r>
    <x v="13"/>
    <s v="2011/01/21"/>
    <x v="5"/>
    <s v="신문구독료 지급의 건-1월분"/>
    <m/>
    <s v="경향신문"/>
    <m/>
    <n v="15000"/>
    <m/>
    <n v="30000"/>
  </r>
  <r>
    <x v="13"/>
    <s v="2011/02/09"/>
    <x v="0"/>
    <s v="직원명함 발급비 정산의 건"/>
    <s v="10163"/>
    <s v="성원토탈프린팅"/>
    <s v="201-19-73597"/>
    <n v="26400"/>
    <m/>
    <n v="56400"/>
  </r>
  <r>
    <x v="13"/>
    <s v="2011/02/10"/>
    <x v="0"/>
    <s v="명함대금 지급의 건"/>
    <s v="10163"/>
    <s v="성원토탈프린팅"/>
    <s v="201-19-73597"/>
    <n v="8800"/>
    <m/>
    <n v="65200"/>
  </r>
  <r>
    <x v="13"/>
    <s v="2011/02/22"/>
    <x v="0"/>
    <s v="신문구독료 지급의 건-2월분"/>
    <m/>
    <s v="한겨레 서교지국"/>
    <m/>
    <n v="15000"/>
    <m/>
    <m/>
  </r>
  <r>
    <x v="13"/>
    <s v="2011/02/22"/>
    <x v="0"/>
    <s v="신문구독료 지급의 건-2월분"/>
    <m/>
    <s v="경향신문"/>
    <m/>
    <n v="15000"/>
    <m/>
    <n v="95200"/>
  </r>
  <r>
    <x v="13"/>
    <s v="2011/03/22"/>
    <x v="6"/>
    <s v="명함대금 정산의 건"/>
    <s v="10163"/>
    <s v="성원토탈프린팅"/>
    <s v="201-19-73597"/>
    <n v="5500"/>
    <m/>
    <n v="100700"/>
  </r>
  <r>
    <x v="13"/>
    <s v="2011/03/28"/>
    <x v="6"/>
    <s v="신문구독료 지급의 건-3월분"/>
    <m/>
    <s v="한겨레 서교지국"/>
    <m/>
    <n v="15000"/>
    <m/>
    <m/>
  </r>
  <r>
    <x v="13"/>
    <s v="2011/03/28"/>
    <x v="6"/>
    <s v="신문구독료 지급의 건-3월분"/>
    <m/>
    <s v="경향신문"/>
    <m/>
    <n v="15000"/>
    <m/>
    <n v="130700"/>
  </r>
  <r>
    <x v="13"/>
    <s v="2011/04/14"/>
    <x v="7"/>
    <s v="직원 명함제작비 지출의 건"/>
    <s v="10163"/>
    <s v="성원토탈프린팅"/>
    <s v="201-19-73597"/>
    <n v="14300"/>
    <m/>
    <n v="145000"/>
  </r>
  <r>
    <x v="13"/>
    <s v="2011/04/19"/>
    <x v="7"/>
    <s v="감사보고서, 세무조정명세서50부 인쇄비"/>
    <s v="10212"/>
    <s v="(유)이정회계법인"/>
    <s v="211-87-02818"/>
    <n v="140000"/>
    <m/>
    <n v="285000"/>
  </r>
  <r>
    <x v="13"/>
    <s v="2011/04/29"/>
    <x v="7"/>
    <s v="신문구독료 지급의 건-4월분"/>
    <m/>
    <s v="한겨레 서교지국"/>
    <m/>
    <n v="15000"/>
    <m/>
    <m/>
  </r>
  <r>
    <x v="13"/>
    <s v="2011/04/29"/>
    <x v="7"/>
    <s v="신문구독료 지급의 건-4월분"/>
    <m/>
    <s v="경향신문"/>
    <m/>
    <n v="15000"/>
    <m/>
    <n v="315000"/>
  </r>
  <r>
    <x v="13"/>
    <s v="2011/05/31"/>
    <x v="8"/>
    <s v="신문구독료 지급의 건-5월분"/>
    <m/>
    <s v="한겨레 서교지국"/>
    <m/>
    <n v="15000"/>
    <m/>
    <m/>
  </r>
  <r>
    <x v="13"/>
    <s v="2011/05/31"/>
    <x v="8"/>
    <s v="신문구독료 지급의 건-5월분"/>
    <m/>
    <s v="경향신문"/>
    <m/>
    <n v="15000"/>
    <m/>
    <n v="345000"/>
  </r>
  <r>
    <x v="13"/>
    <s v="2011/06/29"/>
    <x v="1"/>
    <s v="신문구독료 지급의 건-6월분"/>
    <m/>
    <s v="한겨레 서교지국"/>
    <m/>
    <n v="15000"/>
    <m/>
    <m/>
  </r>
  <r>
    <x v="13"/>
    <s v="2011/06/29"/>
    <x v="1"/>
    <s v="신문구독료 지급의 건-6월분"/>
    <m/>
    <s v="경향신문"/>
    <m/>
    <n v="15000"/>
    <m/>
    <n v="375000"/>
  </r>
  <r>
    <x v="13"/>
    <s v="2011/06/30"/>
    <x v="1"/>
    <s v="2010년 감사보고서, 세무조정명세서 인쇄비 부가세 지출의 건"/>
    <s v="10212"/>
    <s v="(유)이정회계법인"/>
    <s v="211-87-02818"/>
    <n v="14000"/>
    <m/>
    <n v="389000"/>
  </r>
  <r>
    <x v="13"/>
    <s v="2011/07/04"/>
    <x v="9"/>
    <s v="직원명함 제작비 정산의 건"/>
    <s v="10163"/>
    <s v="성원토탈프린팅"/>
    <s v="201-19-73597"/>
    <n v="8800"/>
    <m/>
    <m/>
  </r>
  <r>
    <x v="13"/>
    <s v="2011/07/04"/>
    <x v="9"/>
    <s v="비추미여성대상(특별상) 관련서류 제본비 지출의건"/>
    <m/>
    <s v="신성교역"/>
    <m/>
    <n v="3000"/>
    <m/>
    <n v="400800"/>
  </r>
  <r>
    <x v="13"/>
    <s v="2011/07/06"/>
    <x v="9"/>
    <s v="직원명함 제작비 정산의 건"/>
    <s v="10163"/>
    <s v="성원토탈프린팅"/>
    <s v="201-19-73597"/>
    <n v="11000"/>
    <m/>
    <n v="411800"/>
  </r>
  <r>
    <x v="13"/>
    <s v="2011/07/15"/>
    <x v="9"/>
    <s v="직원명함 제작비 정산의 건"/>
    <s v="10163"/>
    <s v="성원토탈프린팅"/>
    <s v="201-19-73597"/>
    <n v="13200"/>
    <m/>
    <n v="425000"/>
  </r>
  <r>
    <x v="13"/>
    <s v="2011/07/27"/>
    <x v="9"/>
    <s v="신문구독료 지급의 건-7월분"/>
    <m/>
    <s v="한겨레 서교지국"/>
    <m/>
    <n v="15000"/>
    <m/>
    <m/>
  </r>
  <r>
    <x v="13"/>
    <s v="2011/07/27"/>
    <x v="9"/>
    <s v="신문구독료 지급의 건-7월분"/>
    <m/>
    <s v="경향신문"/>
    <m/>
    <n v="15000"/>
    <m/>
    <n v="455000"/>
  </r>
  <r>
    <x v="13"/>
    <s v="2011/07/28"/>
    <x v="9"/>
    <s v="직원명함 제작비 지출의 건"/>
    <s v="10163"/>
    <s v="성원토탈프린팅"/>
    <s v="201-19-73597"/>
    <n v="8800"/>
    <m/>
    <n v="463800"/>
  </r>
  <r>
    <x v="13"/>
    <s v="2011/08/31"/>
    <x v="10"/>
    <s v="신문구독료 지급의 건-8월분"/>
    <m/>
    <s v="한겨레 서교지국"/>
    <m/>
    <n v="15000"/>
    <m/>
    <m/>
  </r>
  <r>
    <x v="13"/>
    <s v="2011/08/31"/>
    <x v="10"/>
    <s v="신문구독료 지급의 건-8월분"/>
    <m/>
    <s v="경향신문"/>
    <m/>
    <n v="15000"/>
    <m/>
    <n v="493800"/>
  </r>
  <r>
    <x v="13"/>
    <s v="2011/09/06"/>
    <x v="2"/>
    <s v="직원명함 제작비 지출의 건"/>
    <s v="10163"/>
    <s v="성원토탈프린팅"/>
    <s v="201-19-73597"/>
    <n v="49500"/>
    <m/>
    <n v="543300"/>
  </r>
  <r>
    <x v="13"/>
    <s v="2011/09/22"/>
    <x v="2"/>
    <s v="신문구독료 지급의 건-9월분"/>
    <m/>
    <s v="한겨레 서교지국"/>
    <m/>
    <n v="15000"/>
    <m/>
    <m/>
  </r>
  <r>
    <x v="13"/>
    <s v="2011/09/22"/>
    <x v="2"/>
    <s v="신문구독료 지급의 건-9월분"/>
    <m/>
    <s v="경향신문"/>
    <m/>
    <n v="15000"/>
    <m/>
    <n v="573300"/>
  </r>
  <r>
    <x v="13"/>
    <s v="2011/10/20"/>
    <x v="11"/>
    <s v="직원명함 제작비 지출의 건"/>
    <s v="10038"/>
    <s v="(주)성원애드피아"/>
    <s v="201-81-86819"/>
    <n v="8800"/>
    <m/>
    <n v="582100"/>
  </r>
  <r>
    <x v="13"/>
    <s v="2011/11/07"/>
    <x v="3"/>
    <s v="신문구독료 지급의 건-10월분"/>
    <m/>
    <s v="한겨레 서교지국"/>
    <m/>
    <n v="15000"/>
    <m/>
    <m/>
  </r>
  <r>
    <x v="13"/>
    <s v="2011/11/07"/>
    <x v="3"/>
    <s v="신문구독료 지급의 건-10월분"/>
    <m/>
    <s v="경향신문"/>
    <m/>
    <n v="15000"/>
    <m/>
    <n v="612100"/>
  </r>
  <r>
    <x v="13"/>
    <s v="2011/11/29"/>
    <x v="3"/>
    <s v="신문구독료 지급의 건-11월분"/>
    <m/>
    <s v="한겨레 서교지국"/>
    <m/>
    <n v="15000"/>
    <m/>
    <m/>
  </r>
  <r>
    <x v="13"/>
    <s v="2011/11/29"/>
    <x v="3"/>
    <s v="신문구독료 지급의 건-11월분"/>
    <m/>
    <s v="경향신문"/>
    <m/>
    <n v="15000"/>
    <m/>
    <n v="642100"/>
  </r>
  <r>
    <x v="13"/>
    <s v="2011/12/22"/>
    <x v="4"/>
    <s v="신문구독료 지급의 건-12월분"/>
    <m/>
    <s v="한겨레 서교지국"/>
    <m/>
    <n v="15000"/>
    <m/>
    <m/>
  </r>
  <r>
    <x v="13"/>
    <s v="2011/12/22"/>
    <x v="4"/>
    <s v="신문구독료 지급의 건-12월분"/>
    <m/>
    <s v="경향신문"/>
    <m/>
    <n v="15000"/>
    <m/>
    <n v="672100"/>
  </r>
  <r>
    <x v="14"/>
    <s v="2011/01/19"/>
    <x v="5"/>
    <s v="인터넷전화 헤드셋 구입비 정산의 건"/>
    <m/>
    <s v="이베이지마켓"/>
    <m/>
    <n v="72800"/>
    <m/>
    <m/>
  </r>
  <r>
    <x v="14"/>
    <s v="2011/01/19"/>
    <x v="5"/>
    <s v="프린터토너 외 사무용품 구입비 정산의 건"/>
    <s v="10171"/>
    <s v="신도OA"/>
    <s v="106-06-25937"/>
    <n v="213400"/>
    <m/>
    <m/>
  </r>
  <r>
    <x v="14"/>
    <s v="2011/01/19"/>
    <x v="5"/>
    <s v="프린터토너 외 사무용품 구입비 정산의 건"/>
    <m/>
    <s v="오피스마트"/>
    <m/>
    <n v="20500"/>
    <m/>
    <n v="306700"/>
  </r>
  <r>
    <x v="14"/>
    <s v="2011/01/21"/>
    <x v="5"/>
    <s v="사무용품 구입비 정산의 건"/>
    <m/>
    <s v="오피스마트"/>
    <m/>
    <n v="5000"/>
    <m/>
    <n v="311700"/>
  </r>
  <r>
    <x v="14"/>
    <s v="2011/02/09"/>
    <x v="0"/>
    <s v="사무용품구입 정산의 건"/>
    <s v="10198"/>
    <s v="오피스마트"/>
    <s v="105-12-34735"/>
    <n v="378000"/>
    <m/>
    <m/>
  </r>
  <r>
    <x v="14"/>
    <s v="2011/02/09"/>
    <x v="0"/>
    <s v="사무용품 구입비 정산의 건"/>
    <s v="10198"/>
    <s v="오피스마트"/>
    <s v="105-12-34735"/>
    <n v="24500"/>
    <m/>
    <m/>
  </r>
  <r>
    <x v="14"/>
    <s v="2011/02/09"/>
    <x v="0"/>
    <s v="사무용품 구입비 정산의 건"/>
    <s v="10198"/>
    <s v="오피스마트"/>
    <s v="105-12-34735"/>
    <n v="41750"/>
    <m/>
    <m/>
  </r>
  <r>
    <x v="14"/>
    <s v="2011/02/09"/>
    <x v="0"/>
    <s v="사무용품 구입비 정산의 건"/>
    <m/>
    <s v="우체국"/>
    <m/>
    <n v="7750"/>
    <m/>
    <n v="763700"/>
  </r>
  <r>
    <x v="14"/>
    <s v="2011/02/15"/>
    <x v="0"/>
    <s v="복사기 유지 보수 및 네트워크 프린터 랜탈 비용 지급의 건"/>
    <s v="10171"/>
    <s v="신도OA"/>
    <s v="106-06-25937"/>
    <n v="1510000"/>
    <m/>
    <n v="2273700"/>
  </r>
  <r>
    <x v="14"/>
    <s v="2011/02/18"/>
    <x v="0"/>
    <s v="총무팀 금고구입 정산의 건"/>
    <m/>
    <s v="이베이지마켓(중림통상)"/>
    <m/>
    <n v="260000"/>
    <m/>
    <m/>
  </r>
  <r>
    <x v="14"/>
    <s v="2011/02/18"/>
    <x v="0"/>
    <s v="사무용품구입 정산의 건"/>
    <m/>
    <s v="큐브릿지"/>
    <m/>
    <n v="60000"/>
    <m/>
    <n v="2593700"/>
  </r>
  <r>
    <x v="14"/>
    <s v="2011/02/22"/>
    <x v="0"/>
    <s v="라벨터치 라벨테이프 구입의 건"/>
    <m/>
    <s v="11번가"/>
    <m/>
    <n v="55520"/>
    <m/>
    <n v="2649220"/>
  </r>
  <r>
    <x v="14"/>
    <s v="2011/03/02"/>
    <x v="6"/>
    <s v="복사기 유지 보수 및 네트워크 프린터 랜탈 비용 지급의 건_x000a_복사기 유지"/>
    <s v="10171"/>
    <s v="신도OA"/>
    <s v="106-06-25937"/>
    <n v="737000"/>
    <m/>
    <n v="3386220"/>
  </r>
  <r>
    <x v="14"/>
    <s v="2011/06/21"/>
    <x v="1"/>
    <s v="실습자료집 제본비 지출의 건"/>
    <s v="10198"/>
    <s v="오피스마트"/>
    <s v="105-12-34735"/>
    <n v="5000"/>
    <m/>
    <n v="3391220"/>
  </r>
  <r>
    <x v="14"/>
    <s v="2011/11/25"/>
    <x v="3"/>
    <s v="재단 목도장구입비 지출의 건"/>
    <m/>
    <s v="신성교역"/>
    <m/>
    <n v="9000"/>
    <m/>
    <n v="3400220"/>
  </r>
  <r>
    <x v="14"/>
    <s v="2011/12/30"/>
    <x v="4"/>
    <s v="문구 구입비 지출"/>
    <m/>
    <s v="오피스마트"/>
    <m/>
    <n v="6432"/>
    <m/>
    <n v="3406652"/>
  </r>
  <r>
    <x v="15"/>
    <s v="2011/02/15"/>
    <x v="0"/>
    <s v="컴퓨터수리비 정산의 건"/>
    <m/>
    <s v="에스엠플러스"/>
    <m/>
    <n v="30000"/>
    <m/>
    <m/>
  </r>
  <r>
    <x v="15"/>
    <s v="2011/02/15"/>
    <x v="0"/>
    <s v="1층 사무실열쇠 수리비 정산의 건"/>
    <m/>
    <s v="믿음열쇠"/>
    <m/>
    <n v="20000"/>
    <m/>
    <n v="50000"/>
  </r>
  <r>
    <x v="16"/>
    <s v="2011/07/28"/>
    <x v="9"/>
    <s v="회의실 에어컨 리모콘 구입의 건"/>
    <m/>
    <s v="11번가"/>
    <m/>
    <n v="7400"/>
    <m/>
    <n v="7400"/>
  </r>
  <r>
    <x v="17"/>
    <s v="2011/01/19"/>
    <x v="5"/>
    <s v="2010년 재단건물 소방점검수수료 정산의 건"/>
    <s v="10089"/>
    <s v="경원소방주식회사"/>
    <s v="105-86-82015"/>
    <n v="300000"/>
    <m/>
    <n v="300000"/>
  </r>
  <r>
    <x v="17"/>
    <s v="2011/01/21"/>
    <x v="5"/>
    <s v="재단 사옥 전기안전관리 대행비용 지급의 건"/>
    <s v="10211"/>
    <s v="이엠전기안전(주)"/>
    <s v="109-86-17103"/>
    <n v="70000"/>
    <m/>
    <n v="370000"/>
  </r>
  <r>
    <x v="17"/>
    <s v="2011/01/28"/>
    <x v="5"/>
    <s v="공기청정기 렌탈비용 지출의 건"/>
    <s v="10222"/>
    <s v="제이앤에이치"/>
    <s v="214-08-53738"/>
    <n v="52000"/>
    <m/>
    <n v="422000"/>
  </r>
  <r>
    <x v="17"/>
    <s v="2011/01/31"/>
    <x v="5"/>
    <s v="사무처 청소비 지급 건-1월분"/>
    <s v="10301"/>
    <s v="김납순"/>
    <s v="000-00-00000"/>
    <n v="650000"/>
    <m/>
    <m/>
  </r>
  <r>
    <x v="17"/>
    <s v="2011/01/31"/>
    <x v="5"/>
    <s v="건물 쓰레기봉투 구입의 건_x000a_"/>
    <m/>
    <s v="전원슈퍼"/>
    <m/>
    <n v="39700"/>
    <m/>
    <m/>
  </r>
  <r>
    <x v="17"/>
    <s v="2011/01/31"/>
    <x v="5"/>
    <s v="엘리베이터 정기점검과 유지보수비 지출"/>
    <s v="10197"/>
    <s v="오티스엘리베이터유한회사 강북"/>
    <s v="104-85-08709"/>
    <n v="235000"/>
    <m/>
    <n v="1346700"/>
  </r>
  <r>
    <x v="17"/>
    <s v="2011/02/01"/>
    <x v="0"/>
    <s v="건물 1층 유리현관문 교체관련의 건"/>
    <s v="10451"/>
    <s v="진원종합상사"/>
    <s v="105-04-45519"/>
    <n v="350000"/>
    <m/>
    <n v="1696700"/>
  </r>
  <r>
    <x v="17"/>
    <s v="2011/02/17"/>
    <x v="0"/>
    <s v="재단 사옥 전기안전관리 대행비용 지급의 건"/>
    <s v="10211"/>
    <s v="이엠전기안전(주)"/>
    <s v="109-86-17103"/>
    <n v="70000"/>
    <m/>
    <n v="1766700"/>
  </r>
  <r>
    <x v="17"/>
    <s v="2011/02/28"/>
    <x v="0"/>
    <s v="사무처 청소비 지급 건-2월분"/>
    <s v="10301"/>
    <s v="김납순"/>
    <s v="000-00-00000"/>
    <n v="650000"/>
    <m/>
    <m/>
  </r>
  <r>
    <x v="17"/>
    <s v="2011/02/28"/>
    <x v="0"/>
    <s v="공기청정기 렌탈비용 지출의 건"/>
    <s v="10222"/>
    <s v="제이앤에이치"/>
    <s v="214-08-53738"/>
    <n v="52000"/>
    <m/>
    <m/>
  </r>
  <r>
    <x v="17"/>
    <s v="2011/02/28"/>
    <x v="0"/>
    <s v="엘리베이터 정기점검과 유지보수비 지출"/>
    <s v="10197"/>
    <s v="오티스엘리베이터유한회사 강북"/>
    <s v="104-85-08709"/>
    <n v="235000"/>
    <m/>
    <n v="2703700"/>
  </r>
  <r>
    <x v="17"/>
    <s v="2011/03/09"/>
    <x v="6"/>
    <s v="건물 쓰레기봉투 구입의 건_x000a_"/>
    <m/>
    <s v="전원슈퍼"/>
    <m/>
    <n v="39000"/>
    <m/>
    <n v="2742700"/>
  </r>
  <r>
    <x v="17"/>
    <s v="2011/03/17"/>
    <x v="6"/>
    <s v="재단 사옥 전기안전관리 대행비용 지급의 건"/>
    <s v="10211"/>
    <s v="이엠전기안전(주)"/>
    <s v="109-86-17103"/>
    <n v="70000"/>
    <m/>
    <n v="2812700"/>
  </r>
  <r>
    <x v="17"/>
    <s v="2011/03/22"/>
    <x v="6"/>
    <s v="1층 캡스지문인식장치 수리비 정산의 건"/>
    <s v="10051"/>
    <s v="(주)에이디티캡스서부"/>
    <s v="110-85-06588"/>
    <n v="33000"/>
    <m/>
    <n v="2845700"/>
  </r>
  <r>
    <x v="17"/>
    <s v="2011/03/28"/>
    <x v="6"/>
    <s v="공기청정기 렌탈비용 지출의 건"/>
    <s v="10222"/>
    <s v="제이앤에이치"/>
    <s v="214-08-53738"/>
    <n v="52000"/>
    <m/>
    <n v="2897700"/>
  </r>
  <r>
    <x v="17"/>
    <s v="2011/03/31"/>
    <x v="6"/>
    <s v="사무처 청소비 지급 건-3월분"/>
    <s v="10301"/>
    <s v="김납순"/>
    <s v="000-00-00000"/>
    <n v="650000"/>
    <m/>
    <m/>
  </r>
  <r>
    <x v="17"/>
    <s v="2011/03/31"/>
    <x v="6"/>
    <s v="엘리베이터 정기점검과 유지보수비 지출"/>
    <s v="10197"/>
    <s v="오티스엘리베이터유한회사 강북"/>
    <s v="104-85-08709"/>
    <n v="235000"/>
    <m/>
    <n v="3782700"/>
  </r>
  <r>
    <x v="17"/>
    <s v="2011/04/15"/>
    <x v="7"/>
    <s v="건물 쓰레기봉투 구입의 건_x000a_"/>
    <m/>
    <s v="전원슈퍼"/>
    <m/>
    <n v="37000"/>
    <m/>
    <n v="3819700"/>
  </r>
  <r>
    <x v="17"/>
    <s v="2011/04/28"/>
    <x v="7"/>
    <s v="공기청정기 렌탈비용 지출의 건"/>
    <s v="10222"/>
    <s v="제이앤에이치"/>
    <s v="214-08-53738"/>
    <n v="52000"/>
    <m/>
    <n v="3871700"/>
  </r>
  <r>
    <x v="17"/>
    <s v="2011/04/29"/>
    <x v="7"/>
    <s v="재단 사옥 전기안전관리 대행비용 지급의 건"/>
    <s v="10211"/>
    <s v="이엠전기안전(주)"/>
    <s v="109-86-17103"/>
    <n v="70000"/>
    <m/>
    <m/>
  </r>
  <r>
    <x v="17"/>
    <s v="2011/04/29"/>
    <x v="7"/>
    <s v="사무처 청소비 지급 건-4월분"/>
    <s v="10301"/>
    <s v="김납순"/>
    <s v="000-00-00000"/>
    <n v="650000"/>
    <m/>
    <n v="4591700"/>
  </r>
  <r>
    <x v="17"/>
    <s v="2011/05/02"/>
    <x v="8"/>
    <s v="엘리베이터 정기점검과 유지보수비 지출"/>
    <s v="10197"/>
    <s v="오티스엘리베이터유한회사 강북"/>
    <s v="104-85-08709"/>
    <n v="235000"/>
    <m/>
    <n v="4826700"/>
  </r>
  <r>
    <x v="17"/>
    <s v="2011/05/09"/>
    <x v="8"/>
    <s v="건물 누수공사 및 화장실 수리공사대금 정산의 건"/>
    <s v="10284"/>
    <s v="형제설비"/>
    <s v="117-02-12642"/>
    <n v="270000"/>
    <m/>
    <m/>
  </r>
  <r>
    <x v="17"/>
    <s v="2011/05/09"/>
    <x v="8"/>
    <s v="인터넷 공유기 교체 및 키폰셋팅 비용정산의 건"/>
    <s v="10263"/>
    <s v="폰코리아물산"/>
    <s v="111-09-80398"/>
    <n v="165000"/>
    <m/>
    <m/>
  </r>
  <r>
    <x v="17"/>
    <s v="2011/05/09"/>
    <x v="8"/>
    <s v="건물 누전차단기 수리비 정산의 건"/>
    <m/>
    <s v="현대전업사"/>
    <m/>
    <n v="20000"/>
    <m/>
    <m/>
  </r>
  <r>
    <x v="17"/>
    <s v="2011/05/09"/>
    <x v="8"/>
    <s v="교육장 출입카드 발급수수료 정산의 건"/>
    <s v="10051"/>
    <s v="(주)에이디티캡스서부"/>
    <s v="110-85-06588"/>
    <n v="5500"/>
    <m/>
    <n v="5287200"/>
  </r>
  <r>
    <x v="17"/>
    <s v="2011/05/20"/>
    <x v="8"/>
    <s v="재단 옥상녹화경비 정산의 건"/>
    <s v="10525"/>
    <s v="(사)여성이만드는일과미래"/>
    <s v="107-82-10163"/>
    <n v="300000"/>
    <m/>
    <m/>
  </r>
  <r>
    <x v="17"/>
    <s v="2011/05/20"/>
    <x v="8"/>
    <s v="재단 옥상녹화경비 정산의 건"/>
    <s v="10525"/>
    <s v="(사)여성이만드는일과미래"/>
    <s v="107-82-10163"/>
    <n v="100000"/>
    <m/>
    <n v="5687200"/>
  </r>
  <r>
    <x v="17"/>
    <s v="2011/05/24"/>
    <x v="8"/>
    <s v="건물 쓰레기봉투 구입의 건_x000a_"/>
    <m/>
    <s v="전원슈퍼"/>
    <m/>
    <n v="19500"/>
    <m/>
    <m/>
  </r>
  <r>
    <x v="17"/>
    <s v="2011/05/24"/>
    <x v="8"/>
    <s v="건물 쓰레기봉투 구입의 건_x000a_"/>
    <m/>
    <s v="전원슈퍼"/>
    <m/>
    <n v="19500"/>
    <m/>
    <n v="5726200"/>
  </r>
  <r>
    <x v="17"/>
    <s v="2011/05/30"/>
    <x v="8"/>
    <s v="2,3층 청소비 지급의 건"/>
    <m/>
    <s v="김납순"/>
    <m/>
    <n v="200000"/>
    <m/>
    <m/>
  </r>
  <r>
    <x v="17"/>
    <s v="2011/05/30"/>
    <x v="8"/>
    <s v="공기청정기 렌탈비용 지출의 건"/>
    <s v="10222"/>
    <s v="제이앤에이치"/>
    <s v="214-08-53738"/>
    <n v="52000"/>
    <m/>
    <n v="5978200"/>
  </r>
  <r>
    <x v="17"/>
    <s v="2011/05/31"/>
    <x v="8"/>
    <s v="재단건물 정화조청소비 정산의 건"/>
    <s v="10132"/>
    <s v="마포환경산업(주)"/>
    <s v="105-81-79795"/>
    <n v="222580"/>
    <m/>
    <m/>
  </r>
  <r>
    <x v="17"/>
    <s v="2011/05/31"/>
    <x v="8"/>
    <s v="재단 사옥 전기안전관리 대행비용 지급의 건"/>
    <s v="10211"/>
    <s v="이엠전기안전(주)"/>
    <s v="109-86-17103"/>
    <n v="70000"/>
    <m/>
    <m/>
  </r>
  <r>
    <x v="17"/>
    <s v="2011/05/31"/>
    <x v="8"/>
    <s v="사무처 청소비 지급 건-5월분"/>
    <s v="10301"/>
    <s v="김납순"/>
    <s v="000-00-00000"/>
    <n v="650000"/>
    <m/>
    <m/>
  </r>
  <r>
    <x v="17"/>
    <s v="2011/05/31"/>
    <x v="8"/>
    <s v="엘리베이터 정기점검과 유지보수비 지출"/>
    <s v="10197"/>
    <s v="오티스엘리베이터유한회사 강북"/>
    <s v="104-85-08709"/>
    <n v="235000"/>
    <m/>
    <n v="7155780"/>
  </r>
  <r>
    <x v="17"/>
    <s v="2011/06/07"/>
    <x v="1"/>
    <s v="3층 바닥 타일공사 비용 지출의 건"/>
    <s v="10533"/>
    <s v="현대인테리어"/>
    <s v="128-27-41801"/>
    <n v="3000000"/>
    <m/>
    <n v="10155780"/>
  </r>
  <r>
    <x v="17"/>
    <s v="2011/06/14"/>
    <x v="1"/>
    <s v="2층 램프교체 및 싱크대수리대금 지출의건"/>
    <s v="10539"/>
    <s v="예성건축"/>
    <s v="120-10-08076"/>
    <n v="200000"/>
    <m/>
    <n v="10355780"/>
  </r>
  <r>
    <x v="17"/>
    <s v="2011/06/21"/>
    <x v="1"/>
    <s v="재단 사옥 전기안전관리 대행비용 지급의 건"/>
    <s v="10211"/>
    <s v="이엠전기안전(주)"/>
    <s v="109-86-17103"/>
    <n v="70000"/>
    <m/>
    <n v="10425780"/>
  </r>
  <r>
    <x v="17"/>
    <s v="2011/06/27"/>
    <x v="1"/>
    <s v="재단 옥상녹화경비 정산의 건"/>
    <s v="10525"/>
    <s v="(사)여성이만드는일과미래"/>
    <s v="107-82-10163"/>
    <n v="200000"/>
    <m/>
    <n v="10625780"/>
  </r>
  <r>
    <x v="17"/>
    <s v="2011/06/28"/>
    <x v="1"/>
    <s v="공기청정기 렌탈비용 지출의 건"/>
    <s v="10222"/>
    <s v="제이앤에이치"/>
    <s v="214-08-53738"/>
    <n v="52000"/>
    <m/>
    <n v="10677780"/>
  </r>
  <r>
    <x v="17"/>
    <s v="2011/06/30"/>
    <x v="1"/>
    <s v="사무처 청소비 지급 건-6월분"/>
    <s v="10301"/>
    <s v="김납순"/>
    <s v="000-00-00000"/>
    <n v="1050000"/>
    <m/>
    <m/>
  </r>
  <r>
    <x v="17"/>
    <s v="2011/06/30"/>
    <x v="1"/>
    <s v="엘리베이터 정기점검과 유지보수비 지출"/>
    <s v="10197"/>
    <s v="오티스엘리베이터유한회사 강북"/>
    <s v="104-85-08709"/>
    <n v="235000"/>
    <m/>
    <n v="11962780"/>
  </r>
  <r>
    <x v="17"/>
    <s v="2011/07/04"/>
    <x v="9"/>
    <s v="건물 쓰레기봉투 구입의 건_x000a_"/>
    <m/>
    <s v="전원슈퍼"/>
    <m/>
    <n v="19500"/>
    <m/>
    <m/>
  </r>
  <r>
    <x v="17"/>
    <s v="2011/07/04"/>
    <x v="9"/>
    <s v="건물 쓰레기봉투 구입의 건_x000a_"/>
    <m/>
    <s v="전원슈퍼"/>
    <m/>
    <n v="19500"/>
    <m/>
    <n v="12001780"/>
  </r>
  <r>
    <x v="17"/>
    <s v="2011/07/12"/>
    <x v="9"/>
    <s v="재단1층 무선인터넷 설치비 정산의 건"/>
    <m/>
    <s v="에스엠플러스"/>
    <m/>
    <n v="195800"/>
    <m/>
    <n v="12197580"/>
  </r>
  <r>
    <x v="17"/>
    <s v="2011/07/13"/>
    <x v="9"/>
    <s v="재단 사옥 전기안전관리 대행비용 지급의 건"/>
    <s v="10211"/>
    <s v="이엠전기안전(주)"/>
    <s v="109-86-17103"/>
    <n v="70000"/>
    <m/>
    <n v="12267580"/>
  </r>
  <r>
    <x v="17"/>
    <s v="2011/07/21"/>
    <x v="9"/>
    <s v="재단 전화선 및 인터넷선 공사비 지출의 건"/>
    <s v="10263"/>
    <s v="폰코리아물산"/>
    <s v="111-09-80398"/>
    <n v="350000"/>
    <m/>
    <n v="12617580"/>
  </r>
  <r>
    <x v="17"/>
    <s v="2011/07/27"/>
    <x v="9"/>
    <s v="계단 복도내 페인트,2층 화장실 천정, 2층 외부실리콘 공사 지출의 건"/>
    <s v="10533"/>
    <s v="현대인테리어"/>
    <s v="128-27-41801"/>
    <n v="1500000"/>
    <m/>
    <n v="14117580"/>
  </r>
  <r>
    <x v="17"/>
    <s v="2011/07/28"/>
    <x v="9"/>
    <s v="공기청정기 렌탈비용 지출의 건"/>
    <s v="10222"/>
    <s v="제이앤에이치"/>
    <s v="214-08-53738"/>
    <n v="52000"/>
    <m/>
    <n v="14169580"/>
  </r>
  <r>
    <x v="17"/>
    <s v="2011/07/29"/>
    <x v="9"/>
    <s v="재단 옥상녹화경비 정산의 건"/>
    <s v="10525"/>
    <s v="(사)여성이만드는일과미래"/>
    <s v="107-82-10163"/>
    <n v="100000"/>
    <m/>
    <m/>
  </r>
  <r>
    <x v="17"/>
    <s v="2011/07/29"/>
    <x v="9"/>
    <s v="사무처 청소비 지급 건- 7월분"/>
    <s v="10301"/>
    <s v="김납순"/>
    <s v="000-00-00000"/>
    <n v="1050000"/>
    <m/>
    <n v="15319580"/>
  </r>
  <r>
    <x v="17"/>
    <s v="2011/08/01"/>
    <x v="10"/>
    <s v="엘리베이터 정기점검과 유지보수비 지출"/>
    <s v="10197"/>
    <s v="오티스엘리베이터유한회사 강북"/>
    <s v="104-85-08709"/>
    <n v="235000"/>
    <m/>
    <n v="15554580"/>
  </r>
  <r>
    <x v="17"/>
    <s v="2011/08/24"/>
    <x v="10"/>
    <s v="재단 사옥 전기안전관리 대행비용 지급의 건"/>
    <s v="10211"/>
    <s v="이엠전기안전(주)"/>
    <s v="109-86-17103"/>
    <n v="70000"/>
    <m/>
    <n v="15624580"/>
  </r>
  <r>
    <x v="17"/>
    <s v="2011/08/26"/>
    <x v="10"/>
    <s v="건물 1층 남,여화장실 도어락 설치비 지출의 건"/>
    <s v="10553"/>
    <s v="삼원열쇠"/>
    <s v="105-05-27177"/>
    <n v="160000"/>
    <m/>
    <n v="15784580"/>
  </r>
  <r>
    <x v="17"/>
    <s v="2011/08/29"/>
    <x v="10"/>
    <s v="공기청정기 렌탈비용 지출의 건"/>
    <s v="10222"/>
    <s v="제이앤에이치"/>
    <s v="214-08-53738"/>
    <n v="52000"/>
    <m/>
    <n v="15836580"/>
  </r>
  <r>
    <x v="17"/>
    <s v="2011/08/31"/>
    <x v="10"/>
    <s v="사무처 청소비 지급 건- 8월분"/>
    <s v="10301"/>
    <s v="김납순"/>
    <s v="000-00-00000"/>
    <n v="1050000"/>
    <m/>
    <m/>
  </r>
  <r>
    <x v="17"/>
    <s v="2011/08/31"/>
    <x v="10"/>
    <s v="건물 1층 남,여화장실 방충망 설치비 지출의 건"/>
    <s v="10553"/>
    <s v="삼원열쇠"/>
    <s v="105-05-27177"/>
    <n v="70000"/>
    <m/>
    <m/>
  </r>
  <r>
    <x v="17"/>
    <s v="2011/08/31"/>
    <x v="10"/>
    <s v="재단 옥상녹화경비 정산의 건"/>
    <s v="10525"/>
    <s v="(사)여성이만드는일과미래"/>
    <s v="107-82-10163"/>
    <n v="100000"/>
    <m/>
    <m/>
  </r>
  <r>
    <x v="17"/>
    <s v="2011/08/31"/>
    <x v="10"/>
    <s v="엘리베이터 정기점검과 유지보수비 지출"/>
    <s v="10197"/>
    <s v="오티스엘리베이터유한회사 강북"/>
    <s v="104-85-08709"/>
    <n v="235000"/>
    <m/>
    <n v="17291580"/>
  </r>
  <r>
    <x v="17"/>
    <s v="2011/09/01"/>
    <x v="2"/>
    <s v="건물 쓰레기봉투 구입의 건_x000a_"/>
    <m/>
    <s v="전원슈퍼"/>
    <m/>
    <n v="19500"/>
    <m/>
    <m/>
  </r>
  <r>
    <x v="17"/>
    <s v="2011/09/01"/>
    <x v="2"/>
    <s v="건물 쓰레기봉투 구입의 건_x000a_"/>
    <m/>
    <s v="전원슈퍼"/>
    <m/>
    <n v="19500"/>
    <m/>
    <n v="17330580"/>
  </r>
  <r>
    <x v="17"/>
    <s v="2011/09/16"/>
    <x v="2"/>
    <s v="재단 사옥 전기안전관리 대행비용 지급의 건"/>
    <s v="10211"/>
    <s v="이엠전기안전(주)"/>
    <s v="109-86-17103"/>
    <n v="70000"/>
    <m/>
    <m/>
  </r>
  <r>
    <x v="17"/>
    <s v="2011/09/16"/>
    <x v="2"/>
    <s v="재단건물 가스안전정기검사 신청비 지출의 건"/>
    <s v="10273"/>
    <s v="한국가스안전공사"/>
    <s v="110-82-07121"/>
    <n v="44000"/>
    <m/>
    <m/>
  </r>
  <r>
    <x v="17"/>
    <s v="2011/09/16"/>
    <x v="2"/>
    <s v="거주자우선주차요금 지출의 건"/>
    <m/>
    <s v="서울특별시 마포구시설관리공단"/>
    <m/>
    <n v="150000"/>
    <m/>
    <n v="17594580"/>
  </r>
  <r>
    <x v="17"/>
    <s v="2011/09/22"/>
    <x v="2"/>
    <s v="재단건물 1층화장실 세면대수리비 지출의 건"/>
    <m/>
    <s v="24시강남누수하수구"/>
    <m/>
    <n v="30000"/>
    <m/>
    <m/>
  </r>
  <r>
    <x v="17"/>
    <s v="2011/09/22"/>
    <x v="2"/>
    <s v="재단건물 1층화장실 세면대수리비 지출의 건"/>
    <m/>
    <s v="24시강남누수하수구"/>
    <m/>
    <n v="10000"/>
    <m/>
    <n v="17634580"/>
  </r>
  <r>
    <x v="17"/>
    <s v="2011/09/28"/>
    <x v="2"/>
    <s v="공기청정기 렌탈비용 지출의 건"/>
    <s v="10222"/>
    <s v="제이앤에이치"/>
    <s v="214-08-53738"/>
    <n v="52000"/>
    <m/>
    <n v="17686580"/>
  </r>
  <r>
    <x v="17"/>
    <s v="2011/09/29"/>
    <x v="2"/>
    <s v="재단 옥상녹화경비 정산의 건"/>
    <s v="10525"/>
    <s v="(사)여성이만드는일과미래"/>
    <s v="107-82-10163"/>
    <n v="100000"/>
    <m/>
    <n v="17786580"/>
  </r>
  <r>
    <x v="17"/>
    <s v="2011/09/30"/>
    <x v="2"/>
    <s v="사무처 청소비 지급 건- 9월분"/>
    <s v="10301"/>
    <s v="김납순"/>
    <s v="000-00-00000"/>
    <n v="1050000"/>
    <m/>
    <m/>
  </r>
  <r>
    <x v="17"/>
    <s v="2011/09/30"/>
    <x v="2"/>
    <s v="엘리베이터 정기점검과 유지보수비 지출"/>
    <s v="10197"/>
    <s v="오티스엘리베이터유한회사 강북"/>
    <s v="104-85-08709"/>
    <n v="235000"/>
    <m/>
    <n v="19071580"/>
  </r>
  <r>
    <x v="17"/>
    <s v="2011/10/10"/>
    <x v="11"/>
    <s v="재단 사옥 전기안전관리 대행비용 지급의 건"/>
    <s v="10211"/>
    <s v="이엠전기안전(주)"/>
    <s v="109-86-17103"/>
    <n v="70000"/>
    <m/>
    <m/>
  </r>
  <r>
    <x v="17"/>
    <s v="2011/10/10"/>
    <x v="11"/>
    <s v="1층 인터넷선 공사비 지출의 건"/>
    <m/>
    <s v="폰코리아물산"/>
    <m/>
    <n v="30000"/>
    <m/>
    <m/>
  </r>
  <r>
    <x v="17"/>
    <s v="2011/10/10"/>
    <x v="11"/>
    <s v="1층 인터넷선 공사비 지출의 건"/>
    <m/>
    <s v="폰코리아물산"/>
    <m/>
    <n v="5000"/>
    <m/>
    <n v="19176580"/>
  </r>
  <r>
    <x v="17"/>
    <s v="2011/10/18"/>
    <x v="11"/>
    <s v="건물 쓰레기봉투 구입의 건_x000a_"/>
    <m/>
    <s v="전원슈퍼"/>
    <m/>
    <n v="19500"/>
    <m/>
    <m/>
  </r>
  <r>
    <x v="17"/>
    <s v="2011/10/18"/>
    <x v="11"/>
    <s v="건물 쓰레기봉투 구입의 건_x000a_"/>
    <m/>
    <s v="전원슈퍼"/>
    <m/>
    <n v="19500"/>
    <m/>
    <n v="19215580"/>
  </r>
  <r>
    <x v="17"/>
    <s v="2011/10/25"/>
    <x v="11"/>
    <s v="건물 4층 배관공사 및 2,5층 전기수리비 지출의 건"/>
    <s v="10533"/>
    <s v="현대인테리어"/>
    <s v="128-27-41801"/>
    <n v="350000"/>
    <m/>
    <m/>
  </r>
  <r>
    <x v="17"/>
    <s v="2011/10/25"/>
    <x v="11"/>
    <s v="건물 4층 배관공사 및 2,5층 전기수리비 지출의 건"/>
    <m/>
    <s v="태화금속"/>
    <m/>
    <n v="4000"/>
    <m/>
    <n v="19569580"/>
  </r>
  <r>
    <x v="17"/>
    <s v="2011/10/28"/>
    <x v="11"/>
    <s v="공기청정기 렌탈비용 지출의 건"/>
    <s v="10222"/>
    <s v="제이앤에이치"/>
    <s v="214-08-53738"/>
    <n v="52000"/>
    <m/>
    <n v="19621580"/>
  </r>
  <r>
    <x v="17"/>
    <s v="2011/10/31"/>
    <x v="11"/>
    <s v="사무처 청소비 지급 건- 10월분"/>
    <s v="10301"/>
    <s v="김납순"/>
    <s v="000-00-00000"/>
    <n v="1050000"/>
    <m/>
    <m/>
  </r>
  <r>
    <x v="17"/>
    <s v="2011/10/31"/>
    <x v="11"/>
    <s v="엘리베이터 정기점검과 유지보수비 지출"/>
    <s v="10197"/>
    <s v="오티스엘리베이터유한회사 강북"/>
    <s v="104-85-08709"/>
    <n v="235000"/>
    <m/>
    <n v="20906580"/>
  </r>
  <r>
    <x v="17"/>
    <s v="2011/11/03"/>
    <x v="3"/>
    <s v="재단 옥상녹화경비 정산의 건"/>
    <s v="10525"/>
    <s v="(사)여성이만드는일과미래"/>
    <s v="107-82-10163"/>
    <n v="100000"/>
    <m/>
    <n v="21006580"/>
  </r>
  <r>
    <x v="17"/>
    <s v="2011/11/15"/>
    <x v="3"/>
    <s v="4층차량파손관련 수리비 지출의 건"/>
    <m/>
    <s v="기아오토큐"/>
    <m/>
    <n v="250000"/>
    <m/>
    <n v="21256580"/>
  </r>
  <r>
    <x v="17"/>
    <s v="2011/11/16"/>
    <x v="3"/>
    <s v="온열기 구입비 지출의 건"/>
    <m/>
    <s v="트윈프라자"/>
    <m/>
    <n v="240000"/>
    <m/>
    <n v="21496580"/>
  </r>
  <r>
    <x v="17"/>
    <s v="2011/11/28"/>
    <x v="3"/>
    <s v="공기청정기 렌탈비용 지출의 건"/>
    <s v="10222"/>
    <s v="제이앤에이치"/>
    <s v="214-08-53738"/>
    <n v="52000"/>
    <m/>
    <n v="21548580"/>
  </r>
  <r>
    <x v="17"/>
    <s v="2011/11/29"/>
    <x v="3"/>
    <s v="건물 소방점검비용 지출의 건"/>
    <s v="10089"/>
    <s v="경원소방주식회사"/>
    <s v="105-86-82015"/>
    <n v="300000"/>
    <m/>
    <n v="21848580"/>
  </r>
  <r>
    <x v="17"/>
    <s v="2011/11/30"/>
    <x v="3"/>
    <s v="건물 쓰레기봉투 구입의 건_x000a_"/>
    <m/>
    <s v="전원슈퍼"/>
    <m/>
    <n v="20600"/>
    <m/>
    <m/>
  </r>
  <r>
    <x v="17"/>
    <s v="2011/11/30"/>
    <x v="3"/>
    <s v="건물 쓰레기봉투 구입의 건_x000a_"/>
    <m/>
    <s v="전원슈퍼"/>
    <m/>
    <n v="20200"/>
    <m/>
    <m/>
  </r>
  <r>
    <x v="17"/>
    <s v="2011/11/30"/>
    <x v="3"/>
    <s v="재단 사옥 전기안전관리 대행비용 지급의 건"/>
    <s v="10211"/>
    <s v="이엠전기안전(주)"/>
    <s v="109-86-17103"/>
    <n v="70000"/>
    <m/>
    <m/>
  </r>
  <r>
    <x v="17"/>
    <s v="2011/11/30"/>
    <x v="3"/>
    <s v="사무처 청소비 지급 건- 11월분"/>
    <s v="10301"/>
    <s v="김납순"/>
    <s v="000-00-00000"/>
    <n v="1050000"/>
    <m/>
    <m/>
  </r>
  <r>
    <x v="17"/>
    <s v="2011/11/30"/>
    <x v="3"/>
    <s v="엘리베이터 정기점검과 유지보수비 지출"/>
    <s v="10197"/>
    <s v="오티스엘리베이터유한회사 강북"/>
    <s v="104-85-08709"/>
    <n v="235000"/>
    <m/>
    <n v="23244380"/>
  </r>
  <r>
    <x v="17"/>
    <s v="2011/12/05"/>
    <x v="4"/>
    <s v="건물 4층 배수관 누수공사비 지출의 건"/>
    <s v="10284"/>
    <s v="형제설비"/>
    <s v="117-02-12642"/>
    <n v="100000"/>
    <m/>
    <n v="23344380"/>
  </r>
  <r>
    <x v="17"/>
    <s v="2011/12/09"/>
    <x v="4"/>
    <s v="미술품 액자설치비 지출의 건"/>
    <s v="10173"/>
    <s v="신성산업"/>
    <s v="215-09-67232"/>
    <n v="385000"/>
    <m/>
    <m/>
  </r>
  <r>
    <x v="17"/>
    <s v="2011/12/09"/>
    <x v="4"/>
    <s v="미술품 액자설치비 지출의 건"/>
    <m/>
    <s v="현대상사"/>
    <m/>
    <n v="6000"/>
    <m/>
    <n v="23735380"/>
  </r>
  <r>
    <x v="17"/>
    <s v="2011/12/12"/>
    <x v="4"/>
    <s v="거주자우선주차요금 지출의 건"/>
    <m/>
    <s v="서울특별시 마포구시설관리공단"/>
    <m/>
    <n v="150000"/>
    <m/>
    <n v="23885380"/>
  </r>
  <r>
    <x v="17"/>
    <s v="2011/12/21"/>
    <x v="4"/>
    <s v="1층 출입구 공사 지출의건"/>
    <s v="10173"/>
    <s v="신성산업"/>
    <s v="215-09-67232"/>
    <n v="2078000"/>
    <m/>
    <n v="25963380"/>
  </r>
  <r>
    <x v="17"/>
    <s v="2011/12/23"/>
    <x v="4"/>
    <s v="재단 옥상녹화경비 정산의 건"/>
    <s v="10525"/>
    <s v="(사)여성이만드는일과미래"/>
    <s v="107-82-10163"/>
    <n v="100000"/>
    <m/>
    <n v="26063380"/>
  </r>
  <r>
    <x v="17"/>
    <s v="2011/12/26"/>
    <x v="4"/>
    <s v="건물 폐기물처리비 지출의 건"/>
    <m/>
    <s v="마포구청"/>
    <m/>
    <n v="3000"/>
    <m/>
    <m/>
  </r>
  <r>
    <x v="17"/>
    <s v="2011/12/26"/>
    <x v="4"/>
    <s v="건물 폐기물처리비 지출의 건"/>
    <m/>
    <s v="마포구청"/>
    <m/>
    <n v="2000"/>
    <m/>
    <m/>
  </r>
  <r>
    <x v="17"/>
    <s v="2011/12/26"/>
    <x v="4"/>
    <s v="건물 소방설비보수공사비 지출의 건"/>
    <s v="10089"/>
    <s v="경원소방주식회사"/>
    <s v="105-86-82015"/>
    <n v="1730000"/>
    <m/>
    <m/>
  </r>
  <r>
    <x v="17"/>
    <s v="2011/12/26"/>
    <x v="4"/>
    <s v="재단 사옥 전기안전관리 대행비용 지급의 건"/>
    <s v="10211"/>
    <s v="이엠전기안전(주)"/>
    <s v="109-86-17103"/>
    <n v="70000"/>
    <m/>
    <n v="27868380"/>
  </r>
  <r>
    <x v="17"/>
    <s v="2011/12/28"/>
    <x v="4"/>
    <s v="공기청정기 렌탈비용 지출의 건"/>
    <s v="10222"/>
    <s v="제이앤에이치"/>
    <s v="214-08-53738"/>
    <n v="52000"/>
    <m/>
    <n v="27920380"/>
  </r>
  <r>
    <x v="17"/>
    <s v="2011/12/30"/>
    <x v="4"/>
    <s v="사무처 청소비 지급 건- 12월분"/>
    <s v="10301"/>
    <s v="김납순"/>
    <s v="000-00-00000"/>
    <n v="1050000"/>
    <m/>
    <m/>
  </r>
  <r>
    <x v="17"/>
    <s v="2011/12/30"/>
    <x v="4"/>
    <s v="건물 누수공사 수리비대금 지출의 건"/>
    <s v="10533"/>
    <s v="현대인테리어"/>
    <s v="128-27-41801"/>
    <n v="1150000"/>
    <m/>
    <n v="30120380"/>
  </r>
  <r>
    <x v="17"/>
    <s v="2011/12/31"/>
    <x v="4"/>
    <s v="6/7 3층 바닥타일공사 /현대인테리어"/>
    <s v="10533"/>
    <s v="현대인테리어"/>
    <s v="128-27-41801"/>
    <n v="-3000000"/>
    <m/>
    <m/>
  </r>
  <r>
    <x v="17"/>
    <s v="2011/12/31"/>
    <x v="4"/>
    <s v="7/27 계단 복도내 페인트공사/현대인테리어"/>
    <s v="10533"/>
    <s v="현대인테리어"/>
    <s v="128-27-41801"/>
    <n v="-1500000"/>
    <m/>
    <m/>
  </r>
  <r>
    <x v="17"/>
    <s v="2011/12/31"/>
    <x v="4"/>
    <s v="12/21 1층 출입구 공사/신성산업"/>
    <s v="10173"/>
    <s v="신성산업"/>
    <s v="215-09-67232"/>
    <n v="-2078000"/>
    <m/>
    <m/>
  </r>
  <r>
    <x v="17"/>
    <s v="2011/12/31"/>
    <x v="4"/>
    <s v="12/26 건물소방설비보수공사/경원소방주식회사"/>
    <s v="10089"/>
    <s v="경원소방주식회사"/>
    <s v="105-86-82015"/>
    <n v="-1730000"/>
    <m/>
    <m/>
  </r>
  <r>
    <x v="17"/>
    <s v="2011/12/31"/>
    <x v="4"/>
    <s v="12/30 건물누수공사 수리비/현대인테리어"/>
    <s v="10533"/>
    <s v="현대인테리어"/>
    <s v="128-27-41801"/>
    <n v="-1150000"/>
    <m/>
    <m/>
  </r>
  <r>
    <x v="17"/>
    <s v="2011/12/31"/>
    <x v="4"/>
    <s v="엘리베이터 정기점검과 유지보수비 지출"/>
    <s v="10197"/>
    <s v="오티스엘리베이터유한회사 강북"/>
    <s v="104-85-08709"/>
    <n v="235000"/>
    <m/>
    <m/>
  </r>
  <r>
    <x v="18"/>
    <s v="2011/01/28"/>
    <x v="5"/>
    <s v="2010년 7월 주민세 미납에 따른 연체료 지급의 건"/>
    <s v="10320"/>
    <s v="마포구청"/>
    <m/>
    <n v="19630"/>
    <m/>
    <n v="19630"/>
  </r>
  <r>
    <x v="19"/>
    <s v="2011/12/31"/>
    <x v="4"/>
    <s v="2011년 퇴직금 추계액"/>
    <m/>
    <m/>
    <m/>
    <n v="41985950"/>
    <m/>
    <m/>
  </r>
  <r>
    <x v="19"/>
    <s v="2011/12/31"/>
    <x v="4"/>
    <s v="퇴직금계정-퇴직급여 계정 대체"/>
    <m/>
    <m/>
    <m/>
    <n v="145114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0" applyNumberFormats="0" applyBorderFormats="0" applyFontFormats="0" applyPatternFormats="0" applyAlignmentFormats="0" applyWidthHeightFormats="1" dataCaption="값" updatedVersion="3" minRefreshableVersion="3" showCalcMbrs="0" useAutoFormatting="1" itemPrintTitles="1" createdVersion="3" indent="0" outline="1" outlineData="1" multipleFieldFilters="0" chartFormat="3">
  <location ref="A1:V15" firstHeaderRow="1" firstDataRow="2" firstDataCol="1"/>
  <pivotFields count="10">
    <pivotField axis="axisCol" showAll="0">
      <items count="21">
        <item x="5"/>
        <item x="6"/>
        <item x="1"/>
        <item x="16"/>
        <item x="3"/>
        <item x="13"/>
        <item x="8"/>
        <item x="4"/>
        <item x="14"/>
        <item x="7"/>
        <item x="9"/>
        <item x="15"/>
        <item x="12"/>
        <item x="17"/>
        <item x="11"/>
        <item x="18"/>
        <item x="2"/>
        <item x="10"/>
        <item x="19"/>
        <item x="0"/>
        <item t="default"/>
      </items>
    </pivotField>
    <pivotField showAll="0"/>
    <pivotField axis="axisRow" showAll="0">
      <items count="13">
        <item x="5"/>
        <item x="0"/>
        <item x="6"/>
        <item x="7"/>
        <item x="8"/>
        <item x="1"/>
        <item x="9"/>
        <item x="10"/>
        <item x="2"/>
        <item x="11"/>
        <item x="3"/>
        <item x="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합계 : 차    변" fld="7" baseField="0" baseItem="0" numFmtId="41"/>
  </dataFields>
  <formats count="1">
    <format dxfId="12">
      <pivotArea outline="0" collapsedLevelsAreSubtotals="1" fieldPosition="0"/>
    </format>
  </formats>
  <chartFormats count="20">
    <chartFormat chart="2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표1" displayName="표1" ref="A1:J1120" totalsRowShown="0" headerRowDxfId="11" headerRowBorderDxfId="10" tableBorderDxfId="9">
  <autoFilter ref="A1:J1120"/>
  <sortState ref="A2:J1120">
    <sortCondition descending="1" ref="H1:H1120"/>
  </sortState>
  <tableColumns count="10">
    <tableColumn id="1" name="계정명"/>
    <tableColumn id="2" name="날짜" dataDxfId="8"/>
    <tableColumn id="3" name="월" dataDxfId="7">
      <calculatedColumnFormula>MONTH(B2)&amp;"월"</calculatedColumnFormula>
    </tableColumn>
    <tableColumn id="4" name="적   요   란" dataDxfId="6"/>
    <tableColumn id="5" name="코드" dataDxfId="5"/>
    <tableColumn id="6" name="거래처명" dataDxfId="4"/>
    <tableColumn id="7" name="사업자등록번호" dataDxfId="3"/>
    <tableColumn id="8" name="차    변" dataDxfId="2"/>
    <tableColumn id="9" name="대    변" dataDxfId="1"/>
    <tableColumn id="10" name="잔    액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oleObject" Target="../embeddings/oleObject12.bin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12" Type="http://schemas.openxmlformats.org/officeDocument/2006/relationships/oleObject" Target="../embeddings/oleObject11.bin"/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Relationship Id="rId6" Type="http://schemas.openxmlformats.org/officeDocument/2006/relationships/oleObject" Target="../embeddings/oleObject5.bin"/><Relationship Id="rId11" Type="http://schemas.openxmlformats.org/officeDocument/2006/relationships/oleObject" Target="../embeddings/oleObject10.bin"/><Relationship Id="rId5" Type="http://schemas.openxmlformats.org/officeDocument/2006/relationships/oleObject" Target="../embeddings/oleObject4.bin"/><Relationship Id="rId10" Type="http://schemas.openxmlformats.org/officeDocument/2006/relationships/oleObject" Target="../embeddings/oleObject9.bin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8.bin"/><Relationship Id="rId14" Type="http://schemas.openxmlformats.org/officeDocument/2006/relationships/oleObject" Target="../embeddings/oleObject1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I46"/>
  <sheetViews>
    <sheetView workbookViewId="0">
      <selection activeCell="H14" sqref="H14"/>
    </sheetView>
  </sheetViews>
  <sheetFormatPr defaultRowHeight="13.5"/>
  <cols>
    <col min="1" max="1" width="2.625" style="86" customWidth="1"/>
    <col min="2" max="2" width="16.125" style="86" customWidth="1"/>
    <col min="3" max="3" width="35.625" style="86" customWidth="1"/>
    <col min="4" max="5" width="9.75" style="86" bestFit="1" customWidth="1"/>
    <col min="6" max="16384" width="9" style="86"/>
  </cols>
  <sheetData>
    <row r="1" spans="1:9" ht="14.25" thickBot="1">
      <c r="A1" s="476"/>
      <c r="B1" s="476"/>
      <c r="C1" s="476"/>
      <c r="D1" s="476"/>
      <c r="F1" s="790" t="s">
        <v>2669</v>
      </c>
      <c r="G1" s="791" t="s">
        <v>2670</v>
      </c>
    </row>
    <row r="2" spans="1:9" ht="14.25" thickBot="1">
      <c r="A2" s="476"/>
      <c r="B2" s="476" t="s">
        <v>1525</v>
      </c>
      <c r="C2" s="789" t="s">
        <v>3013</v>
      </c>
      <c r="F2" s="785">
        <v>13</v>
      </c>
      <c r="G2" s="786">
        <v>2011</v>
      </c>
    </row>
    <row r="3" spans="1:9" ht="14.25" thickBot="1">
      <c r="A3" s="476"/>
      <c r="B3" s="476" t="s">
        <v>1526</v>
      </c>
      <c r="C3" s="87" t="str">
        <f>CONCATENATE("제  ",F2,"  기")</f>
        <v>제  13  기</v>
      </c>
      <c r="F3" s="787">
        <v>12</v>
      </c>
      <c r="G3" s="788">
        <v>2010</v>
      </c>
    </row>
    <row r="4" spans="1:9" ht="14.25" thickBot="1">
      <c r="A4" s="476"/>
      <c r="B4" s="476"/>
      <c r="C4" s="87" t="str">
        <f>CONCATENATE("제  ",F3,"  기")</f>
        <v>제  12  기</v>
      </c>
      <c r="F4" s="790" t="s">
        <v>2887</v>
      </c>
      <c r="G4" s="791" t="s">
        <v>2888</v>
      </c>
    </row>
    <row r="5" spans="1:9">
      <c r="A5" s="476"/>
      <c r="B5" s="476" t="s">
        <v>1527</v>
      </c>
      <c r="C5" s="476" t="str">
        <f>CONCATENATE(C3,"  ",G2,"년"," ",F5,"월"," ",G5,"일  현재")</f>
        <v>제  13  기  2011년 12월 31일  현재</v>
      </c>
      <c r="D5" s="476"/>
      <c r="E5" s="1189" t="s">
        <v>2889</v>
      </c>
      <c r="F5" s="785">
        <v>12</v>
      </c>
      <c r="G5" s="786">
        <v>31</v>
      </c>
    </row>
    <row r="6" spans="1:9" ht="14.25" thickBot="1">
      <c r="A6" s="476"/>
      <c r="B6" s="476"/>
      <c r="C6" s="476" t="str">
        <f>CONCATENATE(C4,"  ",G3,"년"," ",F6,"월"," ",G6,"일  현재")</f>
        <v>제  12  기  2010년 12월 31일  현재</v>
      </c>
      <c r="D6" s="476"/>
      <c r="E6" s="1190"/>
      <c r="F6" s="785">
        <v>12</v>
      </c>
      <c r="G6" s="786">
        <v>31</v>
      </c>
      <c r="I6" s="86" t="s">
        <v>5385</v>
      </c>
    </row>
    <row r="7" spans="1:9">
      <c r="A7" s="476"/>
      <c r="B7" s="476"/>
      <c r="C7" s="477" t="str">
        <f>CONCATENATE(C3,"  ",G2,"년 1월 1일부터","  ",G2,"년 ",F7,"월 ",G7,"일까지")</f>
        <v>제  13  기  2011년 1월 1일부터  2011년 12월 31일까지</v>
      </c>
      <c r="D7" s="476"/>
      <c r="E7" s="1189" t="s">
        <v>2890</v>
      </c>
      <c r="F7" s="785">
        <v>12</v>
      </c>
      <c r="G7" s="786">
        <v>31</v>
      </c>
    </row>
    <row r="8" spans="1:9" ht="14.25" thickBot="1">
      <c r="A8" s="476"/>
      <c r="B8" s="476"/>
      <c r="C8" s="477" t="str">
        <f>CONCATENATE(C4,"  ",G3,"년 1월 1일부터","  ",G3,"년 ",F8,"월 ",G8,"일까지")</f>
        <v>제  12  기  2010년 1월 1일부터  2010년 12월 31일까지</v>
      </c>
      <c r="D8" s="476"/>
      <c r="E8" s="1190"/>
      <c r="F8" s="787">
        <v>12</v>
      </c>
      <c r="G8" s="788">
        <v>31</v>
      </c>
    </row>
    <row r="9" spans="1:9">
      <c r="A9" s="476"/>
      <c r="B9" s="476"/>
      <c r="C9" s="476" t="str">
        <f>CONCATENATE("A : ",F5,"-",G5,"-",G2)</f>
        <v>A : 12-31-2011</v>
      </c>
      <c r="D9" s="476"/>
      <c r="E9" s="476"/>
      <c r="F9" s="476"/>
    </row>
    <row r="10" spans="1:9" ht="14.25" thickBot="1">
      <c r="A10" s="476"/>
      <c r="B10" s="476"/>
      <c r="C10" s="476"/>
      <c r="D10" s="476"/>
      <c r="E10" s="476"/>
      <c r="F10" s="476"/>
    </row>
    <row r="11" spans="1:9">
      <c r="A11" s="476"/>
      <c r="B11" s="476" t="s">
        <v>2661</v>
      </c>
      <c r="C11" s="794">
        <f>DATE(G3,F6,G6)</f>
        <v>40543</v>
      </c>
      <c r="D11" s="476"/>
      <c r="E11" s="485"/>
      <c r="F11" s="476"/>
    </row>
    <row r="12" spans="1:9" ht="14.25" thickBot="1">
      <c r="A12" s="476"/>
      <c r="B12" s="476" t="s">
        <v>2662</v>
      </c>
      <c r="C12" s="795">
        <f>DATE(G2,F5,G5)</f>
        <v>40908</v>
      </c>
      <c r="D12" s="476"/>
      <c r="E12" s="476"/>
      <c r="F12" s="476"/>
    </row>
    <row r="13" spans="1:9" ht="14.25" thickBot="1">
      <c r="A13" s="476"/>
      <c r="B13" s="476"/>
      <c r="C13" s="476"/>
      <c r="D13" s="476"/>
      <c r="E13" s="476"/>
      <c r="F13" s="476"/>
    </row>
    <row r="14" spans="1:9" ht="14.25" thickBot="1">
      <c r="A14" s="476"/>
      <c r="B14" s="476" t="s">
        <v>1528</v>
      </c>
      <c r="C14" s="792">
        <v>40563</v>
      </c>
      <c r="D14" s="485">
        <f ca="1">TODAY()</f>
        <v>40955</v>
      </c>
      <c r="F14" s="476"/>
    </row>
    <row r="15" spans="1:9">
      <c r="A15" s="476"/>
      <c r="B15" s="476" t="s">
        <v>1581</v>
      </c>
      <c r="C15" s="793">
        <f>C14+1</f>
        <v>40564</v>
      </c>
      <c r="D15" s="476"/>
      <c r="E15" s="476"/>
      <c r="F15" s="476"/>
    </row>
    <row r="16" spans="1:9">
      <c r="A16" s="476"/>
      <c r="B16" s="476"/>
      <c r="C16" s="476"/>
      <c r="D16" s="476"/>
      <c r="E16" s="476"/>
      <c r="F16" s="476"/>
    </row>
    <row r="17" spans="1:6">
      <c r="A17" s="476"/>
      <c r="B17" s="476" t="s">
        <v>2660</v>
      </c>
      <c r="C17" s="478" t="s">
        <v>2666</v>
      </c>
      <c r="D17" s="476"/>
      <c r="E17" s="476"/>
      <c r="F17" s="476"/>
    </row>
    <row r="18" spans="1:6">
      <c r="A18" s="476"/>
      <c r="B18" s="476" t="s">
        <v>1580</v>
      </c>
      <c r="C18" s="478" t="s">
        <v>2667</v>
      </c>
      <c r="D18" s="476"/>
      <c r="E18" s="476"/>
      <c r="F18" s="476"/>
    </row>
    <row r="19" spans="1:6">
      <c r="A19" s="476"/>
      <c r="B19" s="476"/>
      <c r="C19" s="476"/>
      <c r="D19" s="476"/>
      <c r="E19" s="476"/>
      <c r="F19" s="476"/>
    </row>
    <row r="20" spans="1:6">
      <c r="A20" s="476"/>
      <c r="B20" s="476" t="s">
        <v>1529</v>
      </c>
      <c r="C20" s="476"/>
      <c r="D20" s="476"/>
      <c r="E20" s="476"/>
      <c r="F20" s="476"/>
    </row>
    <row r="21" spans="1:6">
      <c r="A21" s="476"/>
      <c r="B21" s="476"/>
      <c r="C21" s="479" t="s">
        <v>1530</v>
      </c>
      <c r="D21" s="480" t="s">
        <v>1531</v>
      </c>
      <c r="E21" s="476"/>
      <c r="F21" s="476"/>
    </row>
    <row r="22" spans="1:6">
      <c r="A22" s="476"/>
      <c r="B22" s="476"/>
      <c r="C22" s="479" t="s">
        <v>1532</v>
      </c>
      <c r="D22" s="480" t="s">
        <v>1533</v>
      </c>
      <c r="E22" s="476"/>
      <c r="F22" s="476"/>
    </row>
    <row r="23" spans="1:6">
      <c r="A23" s="476"/>
      <c r="B23" s="476"/>
      <c r="C23" s="481" t="s">
        <v>1534</v>
      </c>
      <c r="D23" s="482" t="s">
        <v>1535</v>
      </c>
      <c r="E23" s="476"/>
      <c r="F23" s="476"/>
    </row>
    <row r="24" spans="1:6">
      <c r="A24" s="476"/>
      <c r="B24" s="476"/>
      <c r="C24" s="481" t="s">
        <v>1536</v>
      </c>
      <c r="D24" s="482" t="s">
        <v>1537</v>
      </c>
      <c r="E24" s="476"/>
      <c r="F24" s="476"/>
    </row>
    <row r="25" spans="1:6">
      <c r="A25" s="476"/>
      <c r="B25" s="476"/>
      <c r="C25" s="481" t="s">
        <v>1538</v>
      </c>
      <c r="D25" s="483" t="s">
        <v>1539</v>
      </c>
      <c r="E25" s="476"/>
      <c r="F25" s="476"/>
    </row>
    <row r="26" spans="1:6">
      <c r="A26" s="476"/>
      <c r="B26" s="476"/>
      <c r="C26" s="479" t="s">
        <v>1540</v>
      </c>
      <c r="D26" s="484" t="s">
        <v>1541</v>
      </c>
      <c r="E26" s="476"/>
      <c r="F26" s="476"/>
    </row>
    <row r="27" spans="1:6">
      <c r="A27" s="476"/>
      <c r="B27" s="476"/>
      <c r="C27" s="481" t="s">
        <v>1542</v>
      </c>
      <c r="D27" s="484" t="s">
        <v>1543</v>
      </c>
      <c r="E27" s="476"/>
      <c r="F27" s="476"/>
    </row>
    <row r="28" spans="1:6">
      <c r="A28" s="476"/>
      <c r="B28" s="476"/>
      <c r="C28" s="481" t="s">
        <v>1544</v>
      </c>
      <c r="D28" s="484" t="s">
        <v>1545</v>
      </c>
      <c r="E28" s="476"/>
      <c r="F28" s="476"/>
    </row>
    <row r="29" spans="1:6">
      <c r="A29" s="476"/>
      <c r="B29" s="476"/>
      <c r="C29" s="481" t="s">
        <v>1546</v>
      </c>
      <c r="D29" s="483" t="s">
        <v>1531</v>
      </c>
      <c r="E29" s="476"/>
      <c r="F29" s="476"/>
    </row>
    <row r="30" spans="1:6">
      <c r="A30" s="476"/>
      <c r="B30" s="476"/>
      <c r="C30" s="481" t="s">
        <v>1547</v>
      </c>
      <c r="D30" s="484" t="s">
        <v>1548</v>
      </c>
      <c r="E30" s="476"/>
      <c r="F30" s="476"/>
    </row>
    <row r="31" spans="1:6">
      <c r="A31" s="476"/>
      <c r="B31" s="476"/>
      <c r="C31" s="481" t="s">
        <v>1549</v>
      </c>
      <c r="D31" s="483" t="s">
        <v>1550</v>
      </c>
      <c r="E31" s="476"/>
      <c r="F31" s="476"/>
    </row>
    <row r="32" spans="1:6">
      <c r="A32" s="476"/>
      <c r="B32" s="476"/>
      <c r="C32" s="481" t="s">
        <v>1551</v>
      </c>
      <c r="D32" s="483" t="s">
        <v>1552</v>
      </c>
      <c r="E32" s="476"/>
      <c r="F32" s="476"/>
    </row>
    <row r="33" spans="1:6">
      <c r="A33" s="476"/>
      <c r="B33" s="476"/>
      <c r="C33" s="481" t="s">
        <v>1553</v>
      </c>
      <c r="D33" s="484" t="s">
        <v>1554</v>
      </c>
      <c r="E33" s="476"/>
      <c r="F33" s="476"/>
    </row>
    <row r="34" spans="1:6">
      <c r="A34" s="476"/>
      <c r="B34" s="476"/>
      <c r="C34" s="481" t="s">
        <v>1555</v>
      </c>
      <c r="D34" s="483" t="s">
        <v>1556</v>
      </c>
      <c r="E34" s="476"/>
      <c r="F34" s="476"/>
    </row>
    <row r="35" spans="1:6">
      <c r="A35" s="476"/>
      <c r="B35" s="476"/>
      <c r="C35" s="481" t="s">
        <v>1557</v>
      </c>
      <c r="D35" s="483" t="s">
        <v>1558</v>
      </c>
      <c r="E35" s="476"/>
      <c r="F35" s="476"/>
    </row>
    <row r="36" spans="1:6">
      <c r="A36" s="476"/>
      <c r="B36" s="476"/>
      <c r="C36" s="481" t="s">
        <v>1559</v>
      </c>
      <c r="D36" s="483" t="s">
        <v>239</v>
      </c>
      <c r="E36" s="476"/>
      <c r="F36" s="476"/>
    </row>
    <row r="37" spans="1:6">
      <c r="A37" s="476"/>
      <c r="B37" s="476"/>
      <c r="C37" s="481" t="s">
        <v>1560</v>
      </c>
      <c r="D37" s="483" t="s">
        <v>1561</v>
      </c>
      <c r="E37" s="476"/>
      <c r="F37" s="476"/>
    </row>
    <row r="38" spans="1:6">
      <c r="A38" s="476"/>
      <c r="B38" s="476"/>
      <c r="C38" s="481" t="s">
        <v>1562</v>
      </c>
      <c r="D38" s="483" t="s">
        <v>1563</v>
      </c>
      <c r="E38" s="476"/>
      <c r="F38" s="476"/>
    </row>
    <row r="39" spans="1:6">
      <c r="A39" s="476"/>
      <c r="B39" s="476"/>
      <c r="C39" s="481" t="s">
        <v>1564</v>
      </c>
      <c r="D39" s="483" t="s">
        <v>1565</v>
      </c>
      <c r="E39" s="476"/>
      <c r="F39" s="476"/>
    </row>
    <row r="40" spans="1:6">
      <c r="A40" s="476"/>
      <c r="B40" s="476"/>
      <c r="C40" s="481" t="s">
        <v>1566</v>
      </c>
      <c r="D40" s="483" t="s">
        <v>1567</v>
      </c>
      <c r="E40" s="476"/>
      <c r="F40" s="476"/>
    </row>
    <row r="41" spans="1:6">
      <c r="A41" s="476"/>
      <c r="B41" s="476"/>
      <c r="C41" s="481" t="s">
        <v>1568</v>
      </c>
      <c r="D41" s="483" t="s">
        <v>1569</v>
      </c>
      <c r="E41" s="476"/>
      <c r="F41" s="476"/>
    </row>
    <row r="42" spans="1:6">
      <c r="A42" s="476"/>
      <c r="B42" s="476"/>
      <c r="C42" s="481" t="s">
        <v>1570</v>
      </c>
      <c r="D42" s="483" t="s">
        <v>1571</v>
      </c>
      <c r="E42" s="476"/>
      <c r="F42" s="476"/>
    </row>
    <row r="43" spans="1:6">
      <c r="A43" s="476"/>
      <c r="B43" s="476"/>
      <c r="C43" s="481" t="s">
        <v>1572</v>
      </c>
      <c r="D43" s="480" t="s">
        <v>1573</v>
      </c>
      <c r="E43" s="476"/>
      <c r="F43" s="476"/>
    </row>
    <row r="44" spans="1:6">
      <c r="C44" s="481" t="s">
        <v>1574</v>
      </c>
      <c r="D44" s="483" t="s">
        <v>1575</v>
      </c>
    </row>
    <row r="45" spans="1:6">
      <c r="C45" s="481" t="s">
        <v>1576</v>
      </c>
      <c r="D45" s="483" t="s">
        <v>1577</v>
      </c>
    </row>
    <row r="46" spans="1:6">
      <c r="C46" s="481" t="s">
        <v>1578</v>
      </c>
      <c r="D46" s="483" t="s">
        <v>1579</v>
      </c>
    </row>
  </sheetData>
  <mergeCells count="2">
    <mergeCell ref="E5:E6"/>
    <mergeCell ref="E7:E8"/>
  </mergeCells>
  <phoneticPr fontId="3" type="noConversion"/>
  <pageMargins left="0.15748031496062992" right="0.19685039370078741" top="0.35433070866141736" bottom="0.31496062992125984" header="0.27559055118110237" footer="0.1968503937007874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/>
  <dimension ref="A1:N40"/>
  <sheetViews>
    <sheetView view="pageBreakPreview" zoomScaleSheetLayoutView="100" workbookViewId="0">
      <selection activeCell="C23" sqref="C23"/>
    </sheetView>
  </sheetViews>
  <sheetFormatPr defaultRowHeight="13.5"/>
  <cols>
    <col min="1" max="1" width="5.625" style="86" bestFit="1" customWidth="1"/>
    <col min="2" max="2" width="45.5" style="86" customWidth="1"/>
    <col min="3" max="3" width="19.75" style="86" bestFit="1" customWidth="1"/>
    <col min="4" max="4" width="20.25" style="86" hidden="1" customWidth="1"/>
    <col min="5" max="5" width="11.625" style="86" bestFit="1" customWidth="1"/>
    <col min="6" max="6" width="16.875" style="86" hidden="1" customWidth="1"/>
    <col min="7" max="7" width="16.75" style="86" bestFit="1" customWidth="1"/>
    <col min="8" max="8" width="16.875" style="86" hidden="1" customWidth="1"/>
    <col min="9" max="10" width="11.625" style="86" bestFit="1" customWidth="1"/>
    <col min="11" max="11" width="12.25" style="86" bestFit="1" customWidth="1"/>
    <col min="12" max="12" width="14.75" style="86" bestFit="1" customWidth="1"/>
    <col min="13" max="13" width="12.75" style="86" bestFit="1" customWidth="1"/>
    <col min="14" max="14" width="4.75" style="86" customWidth="1"/>
    <col min="15" max="16384" width="9" style="86"/>
  </cols>
  <sheetData>
    <row r="1" spans="1:13" s="99" customFormat="1">
      <c r="A1" s="135" t="str">
        <f>기본사항!C2</f>
        <v>(재)한국여성재단</v>
      </c>
      <c r="B1" s="136"/>
      <c r="C1" s="136"/>
      <c r="D1" s="136"/>
      <c r="E1" s="136"/>
      <c r="F1" s="136"/>
      <c r="G1" s="137"/>
      <c r="H1" s="138"/>
      <c r="I1" s="139" t="s">
        <v>112</v>
      </c>
      <c r="J1" s="139" t="s">
        <v>0</v>
      </c>
      <c r="K1" s="139" t="s">
        <v>1</v>
      </c>
    </row>
    <row r="2" spans="1:13" s="99" customFormat="1">
      <c r="A2" s="135" t="s">
        <v>113</v>
      </c>
      <c r="B2" s="136"/>
      <c r="C2" s="136"/>
      <c r="D2" s="136"/>
      <c r="E2" s="136"/>
      <c r="F2" s="136"/>
      <c r="G2" s="137"/>
      <c r="H2" s="140"/>
      <c r="I2" s="1226" t="s">
        <v>224</v>
      </c>
      <c r="J2" s="1228">
        <f>기본사항!C14</f>
        <v>40563</v>
      </c>
      <c r="K2" s="1230" t="str">
        <f>기본사항!C17</f>
        <v>Kbj</v>
      </c>
    </row>
    <row r="3" spans="1:13" s="99" customFormat="1">
      <c r="A3" s="135" t="str">
        <f>기본사항!C9</f>
        <v>A : 12-31-2011</v>
      </c>
      <c r="B3" s="136"/>
      <c r="C3" s="136"/>
      <c r="D3" s="136"/>
      <c r="E3" s="136"/>
      <c r="F3" s="136"/>
      <c r="G3" s="137"/>
      <c r="H3" s="141"/>
      <c r="I3" s="1227"/>
      <c r="J3" s="1229"/>
      <c r="K3" s="1231"/>
    </row>
    <row r="4" spans="1:13" s="99" customFormat="1"/>
    <row r="5" spans="1:13" s="101" customFormat="1">
      <c r="A5" s="100" t="s">
        <v>114</v>
      </c>
    </row>
    <row r="6" spans="1:13" s="99" customFormat="1" ht="4.5" customHeight="1" thickBot="1"/>
    <row r="7" spans="1:13" s="106" customFormat="1" ht="14.25" thickBot="1">
      <c r="A7" s="102" t="s">
        <v>115</v>
      </c>
      <c r="B7" s="103" t="s">
        <v>116</v>
      </c>
      <c r="C7" s="1221" t="s">
        <v>117</v>
      </c>
      <c r="D7" s="1222"/>
      <c r="E7" s="1223"/>
      <c r="F7" s="104"/>
      <c r="G7" s="1224" t="s">
        <v>118</v>
      </c>
      <c r="H7" s="1222"/>
      <c r="I7" s="1225"/>
      <c r="J7" s="102" t="s">
        <v>119</v>
      </c>
      <c r="K7" s="105" t="s">
        <v>120</v>
      </c>
      <c r="L7" s="105" t="s">
        <v>225</v>
      </c>
      <c r="M7" s="103" t="s">
        <v>121</v>
      </c>
    </row>
    <row r="8" spans="1:13" s="99" customFormat="1">
      <c r="A8" s="107"/>
      <c r="B8" s="108"/>
      <c r="C8" s="109"/>
      <c r="D8" s="110"/>
      <c r="E8" s="111"/>
      <c r="F8" s="110"/>
      <c r="G8" s="112"/>
      <c r="H8" s="110"/>
      <c r="I8" s="113"/>
      <c r="J8" s="107"/>
      <c r="K8" s="114"/>
      <c r="L8" s="114"/>
      <c r="M8" s="108"/>
    </row>
    <row r="9" spans="1:13" s="99" customFormat="1">
      <c r="A9" s="107">
        <v>1</v>
      </c>
      <c r="B9" s="108" t="s">
        <v>5372</v>
      </c>
      <c r="C9" s="115" t="s">
        <v>5377</v>
      </c>
      <c r="D9" s="115"/>
      <c r="E9" s="111">
        <v>11470578</v>
      </c>
      <c r="F9" s="110"/>
      <c r="G9" s="115" t="s">
        <v>5381</v>
      </c>
      <c r="H9" s="115"/>
      <c r="I9" s="113">
        <v>11470578</v>
      </c>
      <c r="J9" s="107"/>
      <c r="K9" s="114"/>
      <c r="L9" s="114">
        <f>-E9</f>
        <v>-11470578</v>
      </c>
      <c r="M9" s="108">
        <f>I9</f>
        <v>11470578</v>
      </c>
    </row>
    <row r="10" spans="1:13" s="99" customFormat="1">
      <c r="A10" s="107"/>
      <c r="B10" s="108"/>
      <c r="C10" s="115"/>
      <c r="D10" s="115"/>
      <c r="E10" s="111"/>
      <c r="F10" s="110"/>
      <c r="G10" s="115"/>
      <c r="H10" s="115"/>
      <c r="I10" s="113"/>
      <c r="J10" s="107"/>
      <c r="K10" s="114"/>
      <c r="L10" s="114"/>
      <c r="M10" s="108"/>
    </row>
    <row r="11" spans="1:13" s="99" customFormat="1">
      <c r="A11" s="107">
        <v>2</v>
      </c>
      <c r="B11" s="108" t="s">
        <v>5373</v>
      </c>
      <c r="C11" s="115" t="s">
        <v>5378</v>
      </c>
      <c r="D11" s="115"/>
      <c r="E11" s="111">
        <v>11358802</v>
      </c>
      <c r="F11" s="110"/>
      <c r="G11" s="115" t="s">
        <v>5394</v>
      </c>
      <c r="H11" s="115"/>
      <c r="I11" s="113">
        <v>11358802</v>
      </c>
      <c r="J11" s="107">
        <f>E11</f>
        <v>11358802</v>
      </c>
      <c r="K11" s="114"/>
      <c r="L11" s="114"/>
      <c r="M11" s="108">
        <f>I11</f>
        <v>11358802</v>
      </c>
    </row>
    <row r="12" spans="1:13" s="99" customFormat="1">
      <c r="A12" s="107"/>
      <c r="B12" s="108"/>
      <c r="C12" s="115"/>
      <c r="D12" s="115"/>
      <c r="E12" s="111"/>
      <c r="F12" s="110"/>
      <c r="G12" s="115"/>
      <c r="H12" s="115"/>
      <c r="I12" s="113"/>
      <c r="J12" s="107"/>
      <c r="K12" s="114"/>
      <c r="L12" s="114"/>
      <c r="M12" s="108"/>
    </row>
    <row r="13" spans="1:13" s="99" customFormat="1">
      <c r="A13" s="107">
        <v>3</v>
      </c>
      <c r="B13" s="108" t="s">
        <v>5374</v>
      </c>
      <c r="C13" s="115" t="s">
        <v>5379</v>
      </c>
      <c r="D13" s="115"/>
      <c r="E13" s="111">
        <v>2269324</v>
      </c>
      <c r="F13" s="110"/>
      <c r="G13" s="115" t="s">
        <v>5394</v>
      </c>
      <c r="H13" s="115"/>
      <c r="I13" s="113">
        <v>2269324</v>
      </c>
      <c r="J13" s="107">
        <f>E13</f>
        <v>2269324</v>
      </c>
      <c r="K13" s="114"/>
      <c r="L13" s="114"/>
      <c r="M13" s="108">
        <f>I13</f>
        <v>2269324</v>
      </c>
    </row>
    <row r="14" spans="1:13" s="99" customFormat="1">
      <c r="A14" s="107"/>
      <c r="B14" s="108"/>
      <c r="C14" s="115"/>
      <c r="D14" s="115"/>
      <c r="E14" s="111"/>
      <c r="F14" s="110"/>
      <c r="G14" s="115"/>
      <c r="H14" s="115"/>
      <c r="I14" s="113"/>
      <c r="J14" s="107"/>
      <c r="K14" s="114"/>
      <c r="L14" s="114"/>
      <c r="M14" s="108"/>
    </row>
    <row r="15" spans="1:13" s="99" customFormat="1">
      <c r="A15" s="107">
        <v>4</v>
      </c>
      <c r="B15" s="108" t="s">
        <v>5375</v>
      </c>
      <c r="C15" s="115" t="s">
        <v>5380</v>
      </c>
      <c r="D15" s="115"/>
      <c r="E15" s="111">
        <v>327000</v>
      </c>
      <c r="F15" s="110"/>
      <c r="G15" s="115" t="s">
        <v>5382</v>
      </c>
      <c r="H15" s="115"/>
      <c r="I15" s="113">
        <v>327000</v>
      </c>
      <c r="J15" s="107"/>
      <c r="K15" s="114"/>
      <c r="L15" s="114">
        <f>-E15</f>
        <v>-327000</v>
      </c>
      <c r="M15" s="108">
        <f>I15</f>
        <v>327000</v>
      </c>
    </row>
    <row r="16" spans="1:13" s="99" customFormat="1">
      <c r="A16" s="107"/>
      <c r="B16" s="112"/>
      <c r="C16" s="116"/>
      <c r="D16" s="117"/>
      <c r="E16" s="111"/>
      <c r="F16" s="110"/>
      <c r="G16" s="115"/>
      <c r="H16" s="115"/>
      <c r="I16" s="113"/>
      <c r="J16" s="107"/>
      <c r="K16" s="114"/>
      <c r="L16" s="114"/>
      <c r="M16" s="108"/>
    </row>
    <row r="17" spans="1:14" s="99" customFormat="1">
      <c r="A17" s="107">
        <v>5</v>
      </c>
      <c r="B17" s="112" t="s">
        <v>4810</v>
      </c>
      <c r="C17" s="116" t="s">
        <v>4805</v>
      </c>
      <c r="D17" s="117"/>
      <c r="E17" s="111">
        <v>9149582</v>
      </c>
      <c r="F17" s="110"/>
      <c r="G17" s="115" t="s">
        <v>4803</v>
      </c>
      <c r="H17" s="115"/>
      <c r="I17" s="113">
        <v>9149582</v>
      </c>
      <c r="J17" s="107">
        <f>E17</f>
        <v>9149582</v>
      </c>
      <c r="K17" s="114"/>
      <c r="L17" s="114"/>
      <c r="M17" s="108">
        <f>I17</f>
        <v>9149582</v>
      </c>
    </row>
    <row r="18" spans="1:14" s="99" customFormat="1">
      <c r="A18" s="107"/>
      <c r="C18" s="109"/>
      <c r="D18" s="110"/>
      <c r="E18" s="111"/>
      <c r="J18" s="107"/>
      <c r="K18" s="114"/>
      <c r="L18" s="114"/>
      <c r="M18" s="108"/>
    </row>
    <row r="19" spans="1:14" s="99" customFormat="1">
      <c r="A19" s="107">
        <v>6</v>
      </c>
      <c r="B19" s="112" t="s">
        <v>4808</v>
      </c>
      <c r="C19" s="116" t="s">
        <v>4805</v>
      </c>
      <c r="D19" s="117"/>
      <c r="E19" s="111">
        <v>49500</v>
      </c>
      <c r="F19" s="110"/>
      <c r="G19" s="115" t="s">
        <v>3269</v>
      </c>
      <c r="H19" s="115"/>
      <c r="I19" s="113">
        <v>1500000</v>
      </c>
      <c r="J19" s="107">
        <f>-I19+E19</f>
        <v>-1450500</v>
      </c>
      <c r="K19" s="114"/>
      <c r="L19" s="114"/>
      <c r="M19" s="108">
        <f>I20-E20</f>
        <v>-1450500</v>
      </c>
    </row>
    <row r="20" spans="1:14" s="99" customFormat="1">
      <c r="A20" s="107"/>
      <c r="B20" s="112"/>
      <c r="C20" s="116" t="s">
        <v>4807</v>
      </c>
      <c r="D20" s="117"/>
      <c r="E20" s="111">
        <v>1500000</v>
      </c>
      <c r="F20" s="110"/>
      <c r="G20" s="115" t="s">
        <v>4803</v>
      </c>
      <c r="H20" s="115"/>
      <c r="I20" s="113">
        <v>49500</v>
      </c>
      <c r="J20" s="107"/>
      <c r="K20" s="114"/>
      <c r="L20" s="114"/>
      <c r="M20" s="108"/>
    </row>
    <row r="21" spans="1:14" s="99" customFormat="1">
      <c r="A21" s="107"/>
      <c r="B21" s="108"/>
      <c r="C21" s="115"/>
      <c r="D21" s="115"/>
      <c r="E21" s="111"/>
      <c r="F21" s="110"/>
      <c r="G21" s="115"/>
      <c r="H21" s="115"/>
      <c r="I21" s="113"/>
      <c r="J21" s="107"/>
      <c r="K21" s="114"/>
      <c r="L21" s="114"/>
      <c r="M21" s="108"/>
    </row>
    <row r="22" spans="1:14" s="99" customFormat="1">
      <c r="A22" s="107"/>
      <c r="B22" s="108"/>
      <c r="C22" s="115" t="s">
        <v>5564</v>
      </c>
      <c r="D22" s="115"/>
      <c r="E22" s="111">
        <v>333</v>
      </c>
      <c r="F22" s="110"/>
      <c r="G22" s="115" t="s">
        <v>5563</v>
      </c>
      <c r="H22" s="115"/>
      <c r="I22" s="113">
        <v>333</v>
      </c>
      <c r="J22" s="107"/>
      <c r="K22" s="114"/>
      <c r="L22" s="114"/>
      <c r="M22" s="108"/>
    </row>
    <row r="23" spans="1:14" s="99" customFormat="1">
      <c r="A23" s="107"/>
      <c r="B23" s="108"/>
      <c r="C23" s="109"/>
      <c r="D23" s="110"/>
      <c r="E23" s="111"/>
      <c r="F23" s="110"/>
      <c r="G23" s="115"/>
      <c r="H23" s="115"/>
      <c r="I23" s="113"/>
      <c r="J23" s="107"/>
      <c r="K23" s="114"/>
      <c r="L23" s="114"/>
      <c r="M23" s="108"/>
    </row>
    <row r="24" spans="1:14" s="99" customFormat="1" ht="14.25" thickBot="1">
      <c r="A24" s="107"/>
      <c r="B24" s="108"/>
      <c r="C24" s="109"/>
      <c r="D24" s="110"/>
      <c r="E24" s="111"/>
      <c r="F24" s="110"/>
      <c r="G24" s="112"/>
      <c r="H24" s="110"/>
      <c r="I24" s="113"/>
      <c r="J24" s="107"/>
      <c r="K24" s="114"/>
      <c r="L24" s="114"/>
      <c r="M24" s="108"/>
    </row>
    <row r="25" spans="1:14" s="101" customFormat="1" ht="14.25" thickBot="1">
      <c r="A25" s="118" t="s">
        <v>226</v>
      </c>
      <c r="B25" s="119"/>
      <c r="C25" s="120"/>
      <c r="D25" s="121"/>
      <c r="E25" s="122">
        <f>SUM(E8:E24)</f>
        <v>36125119</v>
      </c>
      <c r="F25" s="121"/>
      <c r="G25" s="123"/>
      <c r="H25" s="121"/>
      <c r="I25" s="124">
        <f>SUM(I8:I24)</f>
        <v>36125119</v>
      </c>
      <c r="J25" s="118">
        <f>SUM(J8:J24)</f>
        <v>21327208</v>
      </c>
      <c r="K25" s="125">
        <f>SUM(K8:K24)</f>
        <v>0</v>
      </c>
      <c r="L25" s="125">
        <f>SUM(L8:L24)</f>
        <v>-11797578</v>
      </c>
      <c r="M25" s="119">
        <f>SUM(M8:M24)</f>
        <v>33124786</v>
      </c>
      <c r="N25" s="722">
        <f>M25+FS_worksheet!I224</f>
        <v>-333</v>
      </c>
    </row>
    <row r="26" spans="1:14" s="101" customFormat="1">
      <c r="A26" s="126"/>
      <c r="B26" s="126"/>
      <c r="C26" s="126"/>
      <c r="D26" s="126"/>
      <c r="E26" s="126"/>
      <c r="F26" s="126"/>
      <c r="G26" s="126"/>
      <c r="H26" s="126"/>
      <c r="I26" s="723">
        <f>E25-I25</f>
        <v>0</v>
      </c>
      <c r="J26" s="1232">
        <f>J25-K25-L25-FS_worksheet!N120+FS_worksheet!O120</f>
        <v>-333</v>
      </c>
      <c r="K26" s="1232"/>
      <c r="L26" s="1232"/>
      <c r="M26" s="720" t="b">
        <f>J25=K25+L25+M25</f>
        <v>1</v>
      </c>
    </row>
    <row r="27" spans="1:14" s="101" customFormat="1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</row>
    <row r="28" spans="1:14" s="101" customFormat="1">
      <c r="A28" s="100" t="s">
        <v>122</v>
      </c>
    </row>
    <row r="29" spans="1:14" s="99" customFormat="1" ht="6.75" customHeight="1" thickBot="1"/>
    <row r="30" spans="1:14" s="106" customFormat="1" ht="14.25" thickBot="1">
      <c r="A30" s="102" t="s">
        <v>115</v>
      </c>
      <c r="B30" s="103" t="s">
        <v>116</v>
      </c>
      <c r="C30" s="1221" t="s">
        <v>117</v>
      </c>
      <c r="D30" s="1222"/>
      <c r="E30" s="1223" t="s">
        <v>117</v>
      </c>
      <c r="F30" s="104"/>
      <c r="G30" s="1224" t="s">
        <v>118</v>
      </c>
      <c r="H30" s="1222"/>
      <c r="I30" s="1225" t="s">
        <v>118</v>
      </c>
    </row>
    <row r="31" spans="1:14" s="99" customFormat="1" ht="13.5" customHeight="1">
      <c r="A31" s="107"/>
      <c r="B31" s="127"/>
      <c r="C31" s="128"/>
      <c r="D31" s="129"/>
      <c r="E31" s="130"/>
      <c r="F31" s="129"/>
      <c r="G31" s="131"/>
      <c r="H31" s="129"/>
      <c r="I31" s="132"/>
    </row>
    <row r="32" spans="1:14" s="99" customFormat="1">
      <c r="A32" s="107">
        <v>101</v>
      </c>
      <c r="B32" s="112" t="s">
        <v>5376</v>
      </c>
      <c r="C32" s="116" t="s">
        <v>5384</v>
      </c>
      <c r="D32" s="117"/>
      <c r="E32" s="111">
        <f>255228187+23970000</f>
        <v>279198187</v>
      </c>
      <c r="F32" s="110"/>
      <c r="G32" s="115" t="s">
        <v>5383</v>
      </c>
      <c r="H32" s="115"/>
      <c r="I32" s="113">
        <f>255228187+23970000</f>
        <v>279198187</v>
      </c>
      <c r="J32" s="109"/>
      <c r="K32" s="110"/>
      <c r="L32" s="110"/>
      <c r="M32" s="110"/>
    </row>
    <row r="33" spans="1:13" s="99" customFormat="1">
      <c r="A33" s="107"/>
      <c r="B33" s="108"/>
      <c r="C33" s="115"/>
      <c r="D33" s="115"/>
      <c r="E33" s="111"/>
      <c r="F33" s="110"/>
      <c r="G33" s="115"/>
      <c r="H33" s="115"/>
      <c r="I33" s="113"/>
      <c r="J33" s="109"/>
      <c r="K33" s="110"/>
      <c r="L33" s="110"/>
      <c r="M33" s="110"/>
    </row>
    <row r="34" spans="1:13" s="99" customFormat="1">
      <c r="A34" s="107"/>
      <c r="B34" s="127"/>
      <c r="C34" s="133"/>
      <c r="D34" s="134"/>
      <c r="E34" s="130"/>
      <c r="F34" s="129"/>
      <c r="G34" s="134"/>
      <c r="H34" s="134"/>
      <c r="I34" s="132"/>
    </row>
    <row r="35" spans="1:13" s="99" customFormat="1" ht="14.25" thickBot="1">
      <c r="A35" s="107"/>
      <c r="B35" s="127"/>
      <c r="C35" s="128"/>
      <c r="D35" s="129"/>
      <c r="E35" s="130"/>
      <c r="F35" s="129"/>
      <c r="G35" s="131"/>
      <c r="H35" s="129"/>
      <c r="I35" s="132"/>
    </row>
    <row r="36" spans="1:13" s="101" customFormat="1" ht="14.25" thickBot="1">
      <c r="A36" s="118" t="s">
        <v>226</v>
      </c>
      <c r="B36" s="119"/>
      <c r="C36" s="120"/>
      <c r="D36" s="121"/>
      <c r="E36" s="122">
        <f>SUM(E31:E35)</f>
        <v>279198187</v>
      </c>
      <c r="F36" s="121"/>
      <c r="G36" s="123"/>
      <c r="H36" s="121"/>
      <c r="I36" s="124">
        <f>SUM(I31:I35)</f>
        <v>279198187</v>
      </c>
    </row>
    <row r="37" spans="1:13" s="99" customFormat="1">
      <c r="I37" s="719">
        <f>I36-E36</f>
        <v>0</v>
      </c>
    </row>
    <row r="38" spans="1:13" s="99" customFormat="1"/>
    <row r="39" spans="1:13" s="99" customFormat="1"/>
    <row r="40" spans="1:13" s="99" customFormat="1"/>
  </sheetData>
  <mergeCells count="8">
    <mergeCell ref="C30:E30"/>
    <mergeCell ref="G30:I30"/>
    <mergeCell ref="I2:I3"/>
    <mergeCell ref="J2:J3"/>
    <mergeCell ref="K2:K3"/>
    <mergeCell ref="C7:E7"/>
    <mergeCell ref="G7:I7"/>
    <mergeCell ref="J26:L26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CM553"/>
  <sheetViews>
    <sheetView tabSelected="1" view="pageBreakPreview" topLeftCell="A96" zoomScaleSheetLayoutView="100" workbookViewId="0">
      <selection activeCell="D17" sqref="D17"/>
    </sheetView>
  </sheetViews>
  <sheetFormatPr defaultRowHeight="12"/>
  <cols>
    <col min="1" max="1" width="4.125" style="1131" customWidth="1"/>
    <col min="2" max="2" width="2.5" style="1131" customWidth="1"/>
    <col min="3" max="3" width="16.5" style="1132" customWidth="1"/>
    <col min="4" max="4" width="7.75" style="1131" customWidth="1"/>
    <col min="5" max="5" width="14.375" style="1133" customWidth="1"/>
    <col min="6" max="7" width="14" style="1133" customWidth="1"/>
    <col min="8" max="8" width="14.25" style="1133" customWidth="1"/>
    <col min="9" max="12" width="14.25" style="1133" hidden="1" customWidth="1"/>
    <col min="13" max="13" width="5.5" style="1134" customWidth="1"/>
    <col min="14" max="16384" width="9" style="1134"/>
  </cols>
  <sheetData>
    <row r="1" spans="1:12" s="1026" customFormat="1" ht="31.5" customHeight="1">
      <c r="A1" s="1022" t="s">
        <v>5395</v>
      </c>
      <c r="B1" s="1023"/>
      <c r="C1" s="1024"/>
      <c r="D1" s="1023"/>
      <c r="E1" s="1025"/>
      <c r="F1" s="1025"/>
      <c r="G1" s="1025"/>
      <c r="H1" s="1025"/>
      <c r="I1" s="1025"/>
      <c r="J1" s="1025"/>
      <c r="K1" s="1025"/>
      <c r="L1" s="1025"/>
    </row>
    <row r="2" spans="1:12" s="1026" customFormat="1" ht="12" customHeight="1">
      <c r="A2" s="1027"/>
      <c r="B2" s="1023"/>
      <c r="C2" s="1024"/>
      <c r="D2" s="1023"/>
      <c r="E2" s="1025"/>
      <c r="F2" s="1025"/>
      <c r="G2" s="1025"/>
      <c r="H2" s="1025"/>
      <c r="I2" s="1025"/>
      <c r="J2" s="1025"/>
      <c r="K2" s="1025"/>
      <c r="L2" s="1025"/>
    </row>
    <row r="3" spans="1:12" s="1031" customFormat="1" ht="12" customHeight="1">
      <c r="A3" s="1028" t="s">
        <v>5561</v>
      </c>
      <c r="B3" s="1029"/>
      <c r="C3" s="1029"/>
      <c r="D3" s="1029"/>
      <c r="E3" s="1030"/>
      <c r="F3" s="1030"/>
      <c r="G3" s="1030"/>
      <c r="H3" s="1030"/>
      <c r="I3" s="1030"/>
      <c r="J3" s="1030"/>
      <c r="K3" s="1030"/>
      <c r="L3" s="1030"/>
    </row>
    <row r="4" spans="1:12" s="1031" customFormat="1" ht="15.75" customHeight="1">
      <c r="A4" s="1028" t="s">
        <v>5396</v>
      </c>
      <c r="B4" s="1029"/>
      <c r="C4" s="1029"/>
      <c r="D4" s="1029"/>
      <c r="E4" s="1030"/>
      <c r="F4" s="1030"/>
      <c r="G4" s="1030"/>
      <c r="H4" s="1030"/>
      <c r="I4" s="1030"/>
      <c r="J4" s="1030"/>
      <c r="K4" s="1030"/>
      <c r="L4" s="1030"/>
    </row>
    <row r="5" spans="1:12" s="1031" customFormat="1" ht="12" customHeight="1">
      <c r="A5" s="1029"/>
      <c r="B5" s="1029"/>
      <c r="C5" s="1029"/>
      <c r="D5" s="1029"/>
      <c r="E5" s="1030"/>
      <c r="F5" s="1030"/>
      <c r="G5" s="1030"/>
      <c r="H5" s="1030"/>
      <c r="I5" s="1030"/>
      <c r="J5" s="1030"/>
      <c r="K5" s="1030"/>
      <c r="L5" s="1030"/>
    </row>
    <row r="6" spans="1:12" s="1035" customFormat="1" ht="12" customHeight="1">
      <c r="A6" s="1032"/>
      <c r="B6" s="1032"/>
      <c r="C6" s="1033"/>
      <c r="D6" s="1032"/>
      <c r="E6" s="1034"/>
      <c r="F6" s="1034"/>
      <c r="G6" s="1034"/>
      <c r="H6" s="1034"/>
      <c r="I6" s="1034"/>
      <c r="J6" s="1034"/>
      <c r="K6" s="1034"/>
      <c r="L6" s="1034"/>
    </row>
    <row r="7" spans="1:12" s="1035" customFormat="1" ht="12" customHeight="1">
      <c r="A7" s="1036" t="s">
        <v>5397</v>
      </c>
      <c r="B7" s="1032"/>
      <c r="C7" s="1033"/>
      <c r="D7" s="1032"/>
      <c r="E7" s="1034"/>
      <c r="F7" s="1034"/>
      <c r="G7" s="1034"/>
      <c r="H7" s="1034" t="s">
        <v>20</v>
      </c>
      <c r="I7" s="1034"/>
      <c r="J7" s="1034"/>
      <c r="K7" s="1034"/>
      <c r="L7" s="1034"/>
    </row>
    <row r="8" spans="1:12" s="1035" customFormat="1" ht="12" customHeight="1">
      <c r="A8" s="1037"/>
      <c r="B8" s="1032"/>
      <c r="C8" s="1033"/>
      <c r="D8" s="1032"/>
      <c r="E8" s="1034"/>
      <c r="F8" s="1034"/>
      <c r="G8" s="1034"/>
      <c r="H8" s="1034"/>
      <c r="I8" s="1034"/>
      <c r="J8" s="1034"/>
      <c r="K8" s="1034"/>
      <c r="L8" s="1034"/>
    </row>
    <row r="9" spans="1:12" s="1035" customFormat="1" ht="4.5" customHeight="1">
      <c r="A9" s="1038"/>
      <c r="B9" s="1039"/>
      <c r="C9" s="1040"/>
      <c r="D9" s="1041"/>
      <c r="E9" s="1042"/>
      <c r="F9" s="1043"/>
      <c r="G9" s="1042"/>
      <c r="H9" s="1043"/>
      <c r="I9" s="1042"/>
      <c r="J9" s="1042"/>
      <c r="K9" s="1042"/>
      <c r="L9" s="1042"/>
    </row>
    <row r="10" spans="1:12" s="1" customFormat="1" ht="25.5" customHeight="1">
      <c r="A10" s="1044"/>
      <c r="B10" s="156"/>
      <c r="C10" s="1045" t="s">
        <v>77</v>
      </c>
      <c r="D10" s="1046"/>
      <c r="E10" s="204" t="s">
        <v>5560</v>
      </c>
      <c r="F10" s="1047"/>
      <c r="G10" s="204" t="s">
        <v>5398</v>
      </c>
      <c r="H10" s="1047"/>
      <c r="I10" s="204"/>
      <c r="J10" s="204"/>
      <c r="K10" s="204"/>
      <c r="L10" s="204"/>
    </row>
    <row r="11" spans="1:12" s="1035" customFormat="1" ht="4.5" customHeight="1">
      <c r="A11" s="1048"/>
      <c r="B11" s="1049"/>
      <c r="C11" s="1049"/>
      <c r="D11" s="1050"/>
      <c r="E11" s="1051"/>
      <c r="F11" s="1052"/>
      <c r="G11" s="1051"/>
      <c r="H11" s="1052"/>
      <c r="I11" s="1051"/>
      <c r="J11" s="1051"/>
      <c r="K11" s="1051"/>
      <c r="L11" s="1051"/>
    </row>
    <row r="12" spans="1:12" s="1035" customFormat="1" ht="22.5" customHeight="1">
      <c r="A12" s="1053"/>
      <c r="B12" s="1054" t="s">
        <v>5399</v>
      </c>
      <c r="C12" s="1054"/>
      <c r="D12" s="1055"/>
      <c r="E12" s="1056"/>
      <c r="F12" s="1056"/>
      <c r="G12" s="1056"/>
      <c r="H12" s="1056"/>
      <c r="I12" s="1057"/>
      <c r="J12" s="1057"/>
      <c r="K12" s="1057"/>
      <c r="L12" s="1057"/>
    </row>
    <row r="13" spans="1:12" s="1035" customFormat="1" ht="22.5" customHeight="1">
      <c r="A13" s="1058" t="s">
        <v>22</v>
      </c>
      <c r="B13" s="1054" t="s">
        <v>6</v>
      </c>
      <c r="D13" s="1059"/>
      <c r="E13" s="1056"/>
      <c r="F13" s="1056">
        <f>+F14</f>
        <v>7107561843</v>
      </c>
      <c r="G13" s="1056"/>
      <c r="H13" s="1056">
        <v>7390531742</v>
      </c>
      <c r="I13" s="1060"/>
      <c r="J13" s="1060"/>
      <c r="K13" s="1060"/>
      <c r="L13" s="1060"/>
    </row>
    <row r="14" spans="1:12" s="1035" customFormat="1" ht="22.5" customHeight="1">
      <c r="A14" s="1061"/>
      <c r="B14" s="1062" t="s">
        <v>23</v>
      </c>
      <c r="C14" s="1054" t="s">
        <v>24</v>
      </c>
      <c r="D14" s="1059"/>
      <c r="E14" s="1056"/>
      <c r="F14" s="1056">
        <f>SUM(E15:E21)</f>
        <v>7107561843</v>
      </c>
      <c r="G14" s="1056"/>
      <c r="H14" s="1056">
        <v>7390531742</v>
      </c>
      <c r="I14" s="1060"/>
      <c r="J14" s="1060"/>
      <c r="K14" s="1060"/>
      <c r="L14" s="1060"/>
    </row>
    <row r="15" spans="1:12" s="1035" customFormat="1" ht="22.5" customHeight="1">
      <c r="A15" s="1061"/>
      <c r="B15" s="1063" t="s">
        <v>25</v>
      </c>
      <c r="C15" s="1064" t="s">
        <v>5400</v>
      </c>
      <c r="D15" s="1055"/>
      <c r="E15" s="1056">
        <f>+FS_worksheet!K12+FS_worksheet!K13</f>
        <v>1150545685</v>
      </c>
      <c r="F15" s="1056"/>
      <c r="G15" s="1056">
        <v>1279680454</v>
      </c>
      <c r="H15" s="1056"/>
      <c r="I15" s="1060"/>
      <c r="J15" s="1060"/>
      <c r="K15" s="1060"/>
      <c r="L15" s="1060"/>
    </row>
    <row r="16" spans="1:12" s="1035" customFormat="1" ht="22.5" customHeight="1">
      <c r="A16" s="1061"/>
      <c r="B16" s="1063" t="s">
        <v>34</v>
      </c>
      <c r="C16" s="1064" t="s">
        <v>5401</v>
      </c>
      <c r="D16" s="1055"/>
      <c r="E16" s="1056">
        <f>+FS_worksheet!K14+FS_worksheet!K15</f>
        <v>5759594410</v>
      </c>
      <c r="F16" s="1056"/>
      <c r="G16" s="1056">
        <v>5635245462</v>
      </c>
      <c r="H16" s="1056"/>
      <c r="I16" s="1060"/>
      <c r="J16" s="1060"/>
      <c r="K16" s="1060"/>
      <c r="L16" s="1060"/>
    </row>
    <row r="17" spans="1:12" s="1035" customFormat="1" ht="22.5" customHeight="1">
      <c r="A17" s="1061"/>
      <c r="B17" s="1063" t="s">
        <v>35</v>
      </c>
      <c r="C17" s="1064" t="s">
        <v>5402</v>
      </c>
      <c r="D17" s="1055"/>
      <c r="E17" s="1056">
        <v>0</v>
      </c>
      <c r="F17" s="1056"/>
      <c r="G17" s="1056">
        <v>262026459</v>
      </c>
      <c r="H17" s="1056"/>
      <c r="I17" s="1060"/>
      <c r="J17" s="1060"/>
      <c r="K17" s="1060"/>
      <c r="L17" s="1060"/>
    </row>
    <row r="18" spans="1:12" s="1035" customFormat="1" ht="22.5" customHeight="1">
      <c r="A18" s="1061"/>
      <c r="B18" s="1063" t="s">
        <v>36</v>
      </c>
      <c r="C18" s="1064" t="s">
        <v>5570</v>
      </c>
      <c r="D18" s="1055"/>
      <c r="E18" s="1056">
        <f>+FS_worksheet!K16</f>
        <v>4180000</v>
      </c>
      <c r="F18" s="1056"/>
      <c r="G18" s="1056">
        <v>0</v>
      </c>
      <c r="H18" s="1056"/>
      <c r="I18" s="1060"/>
      <c r="J18" s="1060"/>
      <c r="K18" s="1060"/>
      <c r="L18" s="1060"/>
    </row>
    <row r="19" spans="1:12" s="1035" customFormat="1" ht="22.5" customHeight="1">
      <c r="A19" s="1061"/>
      <c r="B19" s="1063" t="s">
        <v>39</v>
      </c>
      <c r="C19" s="1064" t="s">
        <v>5403</v>
      </c>
      <c r="D19" s="1059"/>
      <c r="E19" s="1056">
        <f>+FS_worksheet!K17</f>
        <v>95706048</v>
      </c>
      <c r="F19" s="1056"/>
      <c r="G19" s="1056">
        <v>93381167</v>
      </c>
      <c r="H19" s="1056"/>
      <c r="I19" s="1060"/>
      <c r="J19" s="1060"/>
      <c r="K19" s="1060"/>
      <c r="L19" s="1060"/>
    </row>
    <row r="20" spans="1:12" s="1035" customFormat="1" ht="22.5" customHeight="1">
      <c r="A20" s="1061"/>
      <c r="B20" s="1063" t="s">
        <v>43</v>
      </c>
      <c r="C20" s="1064" t="s">
        <v>5404</v>
      </c>
      <c r="D20" s="1059"/>
      <c r="E20" s="1056">
        <f>+FS_worksheet!K18</f>
        <v>72297790</v>
      </c>
      <c r="F20" s="1056"/>
      <c r="G20" s="1056">
        <v>73792000</v>
      </c>
      <c r="H20" s="1056"/>
      <c r="I20" s="1060"/>
      <c r="J20" s="1060"/>
      <c r="K20" s="1060"/>
      <c r="L20" s="1060"/>
    </row>
    <row r="21" spans="1:12" s="1035" customFormat="1" ht="22.5" customHeight="1">
      <c r="A21" s="1061"/>
      <c r="B21" s="1063" t="s">
        <v>44</v>
      </c>
      <c r="C21" s="1064" t="s">
        <v>5405</v>
      </c>
      <c r="D21" s="1059"/>
      <c r="E21" s="1056">
        <f>+FS_worksheet!K20</f>
        <v>25237910</v>
      </c>
      <c r="F21" s="1056"/>
      <c r="G21" s="1056">
        <v>46406200</v>
      </c>
      <c r="H21" s="1056"/>
      <c r="I21" s="1060"/>
      <c r="J21" s="1060"/>
      <c r="K21" s="1060"/>
      <c r="L21" s="1060"/>
    </row>
    <row r="22" spans="1:12" s="1035" customFormat="1" ht="22.5" customHeight="1">
      <c r="A22" s="1058" t="s">
        <v>37</v>
      </c>
      <c r="B22" s="1054" t="s">
        <v>5406</v>
      </c>
      <c r="C22" s="1064"/>
      <c r="D22" s="1059"/>
      <c r="E22" s="1056"/>
      <c r="F22" s="1056">
        <f>+F23+F25+F31</f>
        <v>2917420285</v>
      </c>
      <c r="G22" s="1056"/>
      <c r="H22" s="1056">
        <v>2978266830</v>
      </c>
      <c r="I22" s="1060"/>
      <c r="J22" s="1060"/>
      <c r="K22" s="1060"/>
      <c r="L22" s="1060"/>
    </row>
    <row r="23" spans="1:12" s="1035" customFormat="1" ht="22.5" customHeight="1">
      <c r="A23" s="1061"/>
      <c r="B23" s="1065" t="s">
        <v>23</v>
      </c>
      <c r="C23" s="1064" t="s">
        <v>38</v>
      </c>
      <c r="D23" s="1059"/>
      <c r="E23" s="1056"/>
      <c r="F23" s="1056">
        <f>+E24</f>
        <v>15748892</v>
      </c>
      <c r="G23" s="1056"/>
      <c r="H23" s="1056">
        <v>9652544</v>
      </c>
      <c r="I23" s="1060"/>
      <c r="J23" s="1060"/>
      <c r="K23" s="1060"/>
      <c r="L23" s="1060"/>
    </row>
    <row r="24" spans="1:12" s="1035" customFormat="1" ht="22.5" customHeight="1">
      <c r="A24" s="1061"/>
      <c r="B24" s="1065" t="s">
        <v>25</v>
      </c>
      <c r="C24" s="1064" t="s">
        <v>5407</v>
      </c>
      <c r="D24" s="1059"/>
      <c r="E24" s="1056">
        <f>+FS_worksheet!K35</f>
        <v>15748892</v>
      </c>
      <c r="F24" s="1056"/>
      <c r="G24" s="1056">
        <v>9652544</v>
      </c>
      <c r="H24" s="1056"/>
      <c r="I24" s="1060"/>
      <c r="J24" s="1060"/>
      <c r="K24" s="1060"/>
      <c r="L24" s="1060"/>
    </row>
    <row r="25" spans="1:12" s="1035" customFormat="1" ht="22.5" customHeight="1">
      <c r="A25" s="1061"/>
      <c r="B25" s="1065" t="s">
        <v>40</v>
      </c>
      <c r="C25" s="1064" t="s">
        <v>5408</v>
      </c>
      <c r="D25" s="1059"/>
      <c r="E25" s="1056"/>
      <c r="F25" s="1056">
        <f>SUM(E26:E30)</f>
        <v>2900971393</v>
      </c>
      <c r="G25" s="1056"/>
      <c r="H25" s="1056">
        <v>2967914286</v>
      </c>
      <c r="I25" s="1060"/>
      <c r="J25" s="1060"/>
      <c r="K25" s="1060"/>
      <c r="L25" s="1060"/>
    </row>
    <row r="26" spans="1:12" s="1035" customFormat="1" ht="22.5" customHeight="1">
      <c r="A26" s="1061"/>
      <c r="B26" s="1065" t="s">
        <v>25</v>
      </c>
      <c r="C26" s="1064" t="s">
        <v>5409</v>
      </c>
      <c r="D26" s="1059"/>
      <c r="E26" s="1056">
        <f>+FS_worksheet!K45</f>
        <v>2254457228</v>
      </c>
      <c r="F26" s="1056"/>
      <c r="G26" s="1056">
        <v>2254457228</v>
      </c>
      <c r="H26" s="1056"/>
      <c r="I26" s="1057"/>
      <c r="J26" s="1057"/>
      <c r="K26" s="1057"/>
      <c r="L26" s="1057"/>
    </row>
    <row r="27" spans="1:12" s="1035" customFormat="1" ht="22.5" customHeight="1">
      <c r="A27" s="1061"/>
      <c r="B27" s="1065" t="s">
        <v>34</v>
      </c>
      <c r="C27" s="1064" t="s">
        <v>5410</v>
      </c>
      <c r="D27" s="1059"/>
      <c r="E27" s="1056">
        <f>+FS_worksheet!K46</f>
        <v>958575551</v>
      </c>
      <c r="F27" s="1056">
        <f>+E27-G27</f>
        <v>7958000</v>
      </c>
      <c r="G27" s="1056">
        <v>950617551</v>
      </c>
      <c r="H27" s="1056"/>
      <c r="I27" s="1057"/>
      <c r="J27" s="1057"/>
      <c r="K27" s="1057"/>
      <c r="L27" s="1057"/>
    </row>
    <row r="28" spans="1:12" s="1035" customFormat="1" ht="22.5" customHeight="1">
      <c r="A28" s="1061"/>
      <c r="B28" s="1065"/>
      <c r="C28" s="1064" t="s">
        <v>5411</v>
      </c>
      <c r="D28" s="1059"/>
      <c r="E28" s="1066">
        <f>+FS_worksheet!K47</f>
        <v>-327541866</v>
      </c>
      <c r="F28" s="1056">
        <f t="shared" ref="F28:F30" si="0">+E28-G28</f>
        <v>-62883527</v>
      </c>
      <c r="G28" s="1066">
        <v>-264658339</v>
      </c>
      <c r="H28" s="1056"/>
      <c r="I28" s="1060"/>
      <c r="J28" s="1060"/>
      <c r="K28" s="1060"/>
      <c r="L28" s="1060"/>
    </row>
    <row r="29" spans="1:12" s="1035" customFormat="1" ht="22.5" customHeight="1">
      <c r="A29" s="1061"/>
      <c r="B29" s="1065" t="s">
        <v>27</v>
      </c>
      <c r="C29" s="1064" t="s">
        <v>5412</v>
      </c>
      <c r="D29" s="1059"/>
      <c r="E29" s="1056">
        <f>+FS_worksheet!K48</f>
        <v>126987379</v>
      </c>
      <c r="F29" s="1056">
        <f t="shared" si="0"/>
        <v>1084600</v>
      </c>
      <c r="G29" s="1056">
        <v>125902779</v>
      </c>
      <c r="H29" s="1056"/>
      <c r="I29" s="1060"/>
      <c r="J29" s="1060"/>
      <c r="K29" s="1060"/>
      <c r="L29" s="1060"/>
    </row>
    <row r="30" spans="1:12" s="1035" customFormat="1" ht="22.5" customHeight="1">
      <c r="A30" s="1061"/>
      <c r="B30" s="1065"/>
      <c r="C30" s="1064" t="s">
        <v>5413</v>
      </c>
      <c r="D30" s="1059"/>
      <c r="E30" s="1066">
        <f>+FS_worksheet!K49</f>
        <v>-111506899</v>
      </c>
      <c r="F30" s="1056">
        <f t="shared" si="0"/>
        <v>-13101966</v>
      </c>
      <c r="G30" s="1066">
        <v>-98404933</v>
      </c>
      <c r="H30" s="1056"/>
      <c r="I30" s="1060"/>
      <c r="J30" s="1060"/>
      <c r="K30" s="1060"/>
      <c r="L30" s="1060"/>
    </row>
    <row r="31" spans="1:12" s="1035" customFormat="1" ht="22.5" customHeight="1">
      <c r="A31" s="1061"/>
      <c r="B31" s="1065" t="s">
        <v>5414</v>
      </c>
      <c r="C31" s="1064" t="s">
        <v>5415</v>
      </c>
      <c r="D31" s="1065"/>
      <c r="E31" s="1067"/>
      <c r="F31" s="1068">
        <v>700000</v>
      </c>
      <c r="G31" s="1067"/>
      <c r="H31" s="1068">
        <v>700000</v>
      </c>
      <c r="I31" s="1060"/>
      <c r="J31" s="1060"/>
      <c r="K31" s="1060"/>
      <c r="L31" s="1060"/>
    </row>
    <row r="32" spans="1:12" s="1035" customFormat="1" ht="22.5" customHeight="1">
      <c r="A32" s="1061"/>
      <c r="B32" s="1065" t="s">
        <v>5416</v>
      </c>
      <c r="C32" s="1064" t="s">
        <v>5417</v>
      </c>
      <c r="D32" s="1059"/>
      <c r="E32" s="1056">
        <f>+FS_worksheet!K69</f>
        <v>700000</v>
      </c>
      <c r="F32" s="1056"/>
      <c r="G32" s="1056">
        <v>700000</v>
      </c>
      <c r="H32" s="1056"/>
      <c r="I32" s="1060"/>
      <c r="J32" s="1060"/>
      <c r="K32" s="1060"/>
      <c r="L32" s="1060"/>
    </row>
    <row r="33" spans="1:12" s="1035" customFormat="1" ht="22.5" customHeight="1" thickBot="1">
      <c r="A33" s="1058"/>
      <c r="B33" s="1054" t="s">
        <v>5418</v>
      </c>
      <c r="D33" s="1059"/>
      <c r="E33" s="1056"/>
      <c r="F33" s="1069">
        <f>+F22+F13</f>
        <v>10024982128</v>
      </c>
      <c r="G33" s="1056"/>
      <c r="H33" s="1069">
        <v>10368798572</v>
      </c>
      <c r="I33" s="1060"/>
      <c r="J33" s="1060"/>
      <c r="K33" s="1060"/>
      <c r="L33" s="1060"/>
    </row>
    <row r="34" spans="1:12" s="1035" customFormat="1" ht="22.5" hidden="1" customHeight="1" thickTop="1">
      <c r="A34" s="1058"/>
      <c r="B34" s="1054"/>
      <c r="D34" s="1059"/>
      <c r="E34" s="1068"/>
      <c r="F34" s="1056"/>
      <c r="G34" s="1068"/>
      <c r="H34" s="1056"/>
      <c r="I34" s="1060"/>
      <c r="J34" s="1060"/>
      <c r="K34" s="1060"/>
      <c r="L34" s="1060"/>
    </row>
    <row r="35" spans="1:12" s="1035" customFormat="1" ht="22.5" customHeight="1" thickTop="1">
      <c r="A35" s="1054" t="s">
        <v>5419</v>
      </c>
      <c r="B35" s="1054"/>
      <c r="D35" s="1065"/>
      <c r="E35" s="1068"/>
      <c r="F35" s="1068"/>
      <c r="G35" s="1068"/>
      <c r="H35" s="1068"/>
      <c r="I35" s="1060"/>
      <c r="J35" s="1060"/>
      <c r="K35" s="1060"/>
      <c r="L35" s="1060"/>
    </row>
    <row r="36" spans="1:12" s="1035" customFormat="1" ht="12" customHeight="1">
      <c r="A36" s="1070"/>
      <c r="B36" s="1054"/>
      <c r="D36" s="1065"/>
      <c r="E36" s="1071"/>
      <c r="F36" s="1068"/>
      <c r="G36" s="1071"/>
      <c r="H36" s="1068"/>
      <c r="I36" s="1060"/>
      <c r="J36" s="1060"/>
      <c r="K36" s="1060"/>
      <c r="L36" s="1060"/>
    </row>
    <row r="37" spans="1:12" s="1035" customFormat="1" ht="4.5" customHeight="1">
      <c r="A37" s="1038"/>
      <c r="B37" s="1039"/>
      <c r="C37" s="1040"/>
      <c r="D37" s="1041"/>
      <c r="E37" s="1042"/>
      <c r="F37" s="1043"/>
      <c r="G37" s="1042"/>
      <c r="H37" s="1043"/>
      <c r="I37" s="1060"/>
      <c r="J37" s="1060"/>
      <c r="K37" s="1060"/>
      <c r="L37" s="1060"/>
    </row>
    <row r="38" spans="1:12" s="1035" customFormat="1" ht="25.5" customHeight="1">
      <c r="A38" s="1044"/>
      <c r="B38" s="156"/>
      <c r="C38" s="1045" t="s">
        <v>77</v>
      </c>
      <c r="D38" s="1046"/>
      <c r="E38" s="204" t="s">
        <v>5560</v>
      </c>
      <c r="F38" s="1047"/>
      <c r="G38" s="204" t="s">
        <v>5420</v>
      </c>
      <c r="H38" s="1047"/>
      <c r="I38" s="1060"/>
      <c r="J38" s="1060"/>
      <c r="K38" s="1060"/>
      <c r="L38" s="1060"/>
    </row>
    <row r="39" spans="1:12" s="1035" customFormat="1" ht="4.5" customHeight="1">
      <c r="A39" s="1048"/>
      <c r="B39" s="1049"/>
      <c r="C39" s="1049"/>
      <c r="D39" s="1050"/>
      <c r="E39" s="1051"/>
      <c r="F39" s="1052"/>
      <c r="G39" s="1051"/>
      <c r="H39" s="1052"/>
      <c r="I39" s="1060"/>
      <c r="J39" s="1060"/>
      <c r="K39" s="1060"/>
      <c r="L39" s="1060"/>
    </row>
    <row r="40" spans="1:12" s="1035" customFormat="1" ht="22.5" customHeight="1">
      <c r="A40" s="1053"/>
      <c r="B40" s="1054" t="s">
        <v>5421</v>
      </c>
      <c r="D40" s="1059"/>
      <c r="E40" s="1056"/>
      <c r="F40" s="1056"/>
      <c r="G40" s="1056"/>
      <c r="H40" s="1056"/>
      <c r="I40" s="1060"/>
      <c r="J40" s="1060"/>
      <c r="K40" s="1060"/>
      <c r="L40" s="1060"/>
    </row>
    <row r="41" spans="1:12" s="1035" customFormat="1" ht="22.5" customHeight="1">
      <c r="A41" s="1058" t="s">
        <v>5422</v>
      </c>
      <c r="B41" s="1054" t="s">
        <v>7</v>
      </c>
      <c r="C41" s="1064"/>
      <c r="D41" s="1059"/>
      <c r="E41" s="1056"/>
      <c r="F41" s="1056">
        <f>SUM(E42:E44)</f>
        <v>447041572</v>
      </c>
      <c r="G41" s="1056"/>
      <c r="H41" s="1056">
        <v>781863487</v>
      </c>
      <c r="I41" s="1060"/>
      <c r="J41" s="1060"/>
      <c r="K41" s="1060"/>
      <c r="L41" s="1060"/>
    </row>
    <row r="42" spans="1:12" s="1035" customFormat="1" ht="22.5" customHeight="1">
      <c r="A42" s="1061"/>
      <c r="B42" s="1065" t="s">
        <v>5423</v>
      </c>
      <c r="C42" s="1064" t="s">
        <v>5424</v>
      </c>
      <c r="D42" s="1059"/>
      <c r="E42" s="1056">
        <f>+FS_worksheet!K78</f>
        <v>39348586</v>
      </c>
      <c r="F42" s="1056"/>
      <c r="G42" s="1056">
        <v>25168990</v>
      </c>
      <c r="H42" s="1056"/>
      <c r="I42" s="1060"/>
      <c r="J42" s="1060"/>
      <c r="K42" s="1060"/>
      <c r="L42" s="1060"/>
    </row>
    <row r="43" spans="1:12" s="1035" customFormat="1" ht="22.5" customHeight="1">
      <c r="A43" s="1061"/>
      <c r="B43" s="1065" t="s">
        <v>5425</v>
      </c>
      <c r="C43" s="1064" t="s">
        <v>5426</v>
      </c>
      <c r="D43" s="1059"/>
      <c r="E43" s="1056">
        <f>+FS_worksheet!K79</f>
        <v>1799770</v>
      </c>
      <c r="F43" s="1056"/>
      <c r="G43" s="1056">
        <v>3177820</v>
      </c>
      <c r="H43" s="1056"/>
      <c r="I43" s="1060"/>
      <c r="J43" s="1060"/>
      <c r="K43" s="1060"/>
      <c r="L43" s="1060"/>
    </row>
    <row r="44" spans="1:12" s="1035" customFormat="1" ht="22.5" customHeight="1">
      <c r="A44" s="1061"/>
      <c r="B44" s="1065" t="s">
        <v>5427</v>
      </c>
      <c r="C44" s="1064" t="s">
        <v>5428</v>
      </c>
      <c r="D44" s="1059"/>
      <c r="E44" s="1056">
        <f>+FS_worksheet!K80</f>
        <v>405893216</v>
      </c>
      <c r="F44" s="1056"/>
      <c r="G44" s="1056">
        <v>753516677</v>
      </c>
      <c r="H44" s="1056"/>
      <c r="I44" s="1060"/>
      <c r="J44" s="1060"/>
      <c r="K44" s="1060"/>
      <c r="L44" s="1060"/>
    </row>
    <row r="45" spans="1:12" s="1035" customFormat="1" ht="22.5" customHeight="1">
      <c r="A45" s="1058" t="s">
        <v>5429</v>
      </c>
      <c r="B45" s="1054" t="s">
        <v>5430</v>
      </c>
      <c r="C45" s="1072"/>
      <c r="D45" s="1059"/>
      <c r="E45" s="1056"/>
      <c r="F45" s="1056">
        <f>SUM(E46:E49)</f>
        <v>757348554</v>
      </c>
      <c r="G45" s="1056"/>
      <c r="H45" s="1056">
        <v>620282373</v>
      </c>
      <c r="I45" s="1060"/>
      <c r="J45" s="1060"/>
      <c r="K45" s="1060"/>
      <c r="L45" s="1060"/>
    </row>
    <row r="46" spans="1:12" s="1035" customFormat="1" ht="22.5" customHeight="1">
      <c r="A46" s="1058"/>
      <c r="B46" s="1065" t="s">
        <v>5423</v>
      </c>
      <c r="C46" s="1064" t="s">
        <v>5431</v>
      </c>
      <c r="D46" s="1059"/>
      <c r="E46" s="1056">
        <f>+FS_worksheet!K91</f>
        <v>160000000</v>
      </c>
      <c r="F46" s="1056"/>
      <c r="G46" s="1056">
        <v>160000000</v>
      </c>
      <c r="H46" s="1056"/>
      <c r="I46" s="1073"/>
      <c r="J46" s="1073"/>
      <c r="K46" s="1073"/>
      <c r="L46" s="1073"/>
    </row>
    <row r="47" spans="1:12" s="1035" customFormat="1" ht="22.5" customHeight="1">
      <c r="A47" s="1058"/>
      <c r="B47" s="1065" t="s">
        <v>5425</v>
      </c>
      <c r="C47" s="1064" t="s">
        <v>5432</v>
      </c>
      <c r="D47" s="1059"/>
      <c r="E47" s="1056">
        <f>+FS_worksheet!K90</f>
        <v>556760257</v>
      </c>
      <c r="F47" s="1056"/>
      <c r="G47" s="1056">
        <v>445008127</v>
      </c>
      <c r="H47" s="1056"/>
      <c r="I47" s="1073"/>
      <c r="J47" s="1073"/>
      <c r="K47" s="1073"/>
      <c r="L47" s="1073"/>
    </row>
    <row r="48" spans="1:12" s="1035" customFormat="1" ht="22.5" customHeight="1">
      <c r="A48" s="1061"/>
      <c r="B48" s="1065" t="s">
        <v>5427</v>
      </c>
      <c r="C48" s="1064" t="s">
        <v>5433</v>
      </c>
      <c r="D48" s="1059"/>
      <c r="E48" s="1056">
        <f>+FS_worksheet!K92</f>
        <v>84967680</v>
      </c>
      <c r="F48" s="1056"/>
      <c r="G48" s="1056">
        <v>75399400</v>
      </c>
      <c r="H48" s="1056"/>
      <c r="I48" s="1073"/>
      <c r="J48" s="1073"/>
      <c r="K48" s="1073"/>
      <c r="L48" s="1073"/>
    </row>
    <row r="49" spans="1:12" s="1035" customFormat="1" ht="22.5" customHeight="1">
      <c r="A49" s="1061"/>
      <c r="B49" s="1074"/>
      <c r="C49" s="1064" t="s">
        <v>5434</v>
      </c>
      <c r="D49" s="1059"/>
      <c r="E49" s="1056">
        <f>-FS_worksheet!K36</f>
        <v>-44379383</v>
      </c>
      <c r="F49" s="1056"/>
      <c r="G49" s="1056">
        <v>-60125154</v>
      </c>
      <c r="H49" s="1056"/>
      <c r="I49" s="1060"/>
      <c r="J49" s="1060"/>
      <c r="K49" s="1060"/>
      <c r="L49" s="1060"/>
    </row>
    <row r="50" spans="1:12" s="1035" customFormat="1" ht="22.5" customHeight="1">
      <c r="A50" s="1058"/>
      <c r="B50" s="1054" t="s">
        <v>5435</v>
      </c>
      <c r="D50" s="1059"/>
      <c r="E50" s="1066"/>
      <c r="F50" s="1066">
        <f>+F45+F41</f>
        <v>1204390126</v>
      </c>
      <c r="G50" s="1066"/>
      <c r="H50" s="1066">
        <v>1402145860</v>
      </c>
      <c r="I50" s="1060"/>
      <c r="J50" s="1060"/>
      <c r="K50" s="1060"/>
      <c r="L50" s="1060"/>
    </row>
    <row r="51" spans="1:12" s="1035" customFormat="1" ht="22.5" customHeight="1">
      <c r="A51" s="1075"/>
      <c r="B51" s="1054" t="s">
        <v>5436</v>
      </c>
      <c r="D51" s="1059"/>
      <c r="E51" s="1056"/>
      <c r="F51" s="1056"/>
      <c r="G51" s="1056"/>
      <c r="H51" s="1056"/>
      <c r="I51" s="1060"/>
      <c r="J51" s="1060"/>
      <c r="K51" s="1060"/>
      <c r="L51" s="1060"/>
    </row>
    <row r="52" spans="1:12" s="1035" customFormat="1" ht="22.5" customHeight="1">
      <c r="A52" s="1058" t="s">
        <v>5422</v>
      </c>
      <c r="B52" s="1054" t="s">
        <v>1090</v>
      </c>
      <c r="C52" s="1064"/>
      <c r="D52" s="1059"/>
      <c r="E52" s="1056"/>
      <c r="F52" s="1056">
        <f>+E53</f>
        <v>8383381189</v>
      </c>
      <c r="G52" s="1056"/>
      <c r="H52" s="1056">
        <v>8253627122</v>
      </c>
      <c r="I52" s="1060"/>
      <c r="J52" s="1060"/>
      <c r="K52" s="1060"/>
      <c r="L52" s="1060"/>
    </row>
    <row r="53" spans="1:12" s="1035" customFormat="1" ht="22.5" customHeight="1">
      <c r="A53" s="1058"/>
      <c r="B53" s="1065" t="s">
        <v>5423</v>
      </c>
      <c r="C53" s="1064" t="s">
        <v>5437</v>
      </c>
      <c r="D53" s="1059"/>
      <c r="E53" s="1056">
        <f>+FS_worksheet!K99</f>
        <v>8383381189</v>
      </c>
      <c r="F53" s="1056"/>
      <c r="G53" s="1056">
        <v>8253627122</v>
      </c>
      <c r="H53" s="1056"/>
      <c r="I53" s="1060"/>
      <c r="J53" s="1060"/>
      <c r="K53" s="1060"/>
      <c r="L53" s="1060"/>
    </row>
    <row r="54" spans="1:12" s="1035" customFormat="1" ht="22.5" customHeight="1">
      <c r="A54" s="1058" t="s">
        <v>5429</v>
      </c>
      <c r="B54" s="1054" t="s">
        <v>5438</v>
      </c>
      <c r="C54" s="1064"/>
      <c r="D54" s="1059"/>
      <c r="E54" s="1056"/>
      <c r="F54" s="1056">
        <v>0</v>
      </c>
      <c r="G54" s="1056"/>
      <c r="H54" s="1056">
        <v>7224054</v>
      </c>
      <c r="I54" s="1060"/>
      <c r="J54" s="1060"/>
      <c r="K54" s="1060"/>
      <c r="L54" s="1060"/>
    </row>
    <row r="55" spans="1:12" s="1035" customFormat="1" ht="22.5" customHeight="1">
      <c r="A55" s="1058"/>
      <c r="B55" s="1065" t="s">
        <v>5423</v>
      </c>
      <c r="C55" s="1064" t="s">
        <v>5439</v>
      </c>
      <c r="D55" s="1059"/>
      <c r="E55" s="1056">
        <v>0</v>
      </c>
      <c r="F55" s="1056"/>
      <c r="G55" s="1056">
        <v>7224054</v>
      </c>
      <c r="H55" s="1056"/>
      <c r="I55" s="1060"/>
      <c r="J55" s="1060"/>
      <c r="K55" s="1060"/>
      <c r="L55" s="1060"/>
    </row>
    <row r="56" spans="1:12" s="1035" customFormat="1" ht="22.5" customHeight="1">
      <c r="A56" s="1058" t="s">
        <v>5440</v>
      </c>
      <c r="B56" s="1054" t="s">
        <v>5441</v>
      </c>
      <c r="C56" s="1064"/>
      <c r="D56" s="1059"/>
      <c r="E56" s="1056"/>
      <c r="F56" s="1056">
        <f>+E57</f>
        <v>437210813</v>
      </c>
      <c r="G56" s="1056"/>
      <c r="H56" s="1056">
        <v>705801536.33203173</v>
      </c>
      <c r="I56" s="1060"/>
      <c r="J56" s="1060"/>
      <c r="K56" s="1060"/>
      <c r="L56" s="1060"/>
    </row>
    <row r="57" spans="1:12" s="1035" customFormat="1" ht="22.5" customHeight="1">
      <c r="A57" s="1061"/>
      <c r="B57" s="1065" t="s">
        <v>5423</v>
      </c>
      <c r="C57" s="1064" t="s">
        <v>5442</v>
      </c>
      <c r="D57" s="1059"/>
      <c r="E57" s="1056">
        <f>+FS_worksheet!K113</f>
        <v>437210813</v>
      </c>
      <c r="F57" s="1056"/>
      <c r="G57" s="1056">
        <v>705801536.33203173</v>
      </c>
      <c r="H57" s="1056"/>
      <c r="I57" s="1060"/>
      <c r="J57" s="1060"/>
      <c r="K57" s="1060"/>
      <c r="L57" s="1060"/>
    </row>
    <row r="58" spans="1:12" s="1035" customFormat="1" ht="22.5" customHeight="1">
      <c r="A58" s="1058"/>
      <c r="B58" s="1054" t="s">
        <v>5443</v>
      </c>
      <c r="D58" s="1059"/>
      <c r="E58" s="1056"/>
      <c r="F58" s="1066">
        <f>+F56+F52</f>
        <v>8820592002</v>
      </c>
      <c r="G58" s="1056"/>
      <c r="H58" s="1066">
        <v>8966652712.3320312</v>
      </c>
      <c r="I58" s="1060"/>
      <c r="J58" s="1060"/>
      <c r="K58" s="1060"/>
      <c r="L58" s="1060"/>
    </row>
    <row r="59" spans="1:12" s="1035" customFormat="1" ht="22.5" customHeight="1" thickBot="1">
      <c r="A59" s="1058"/>
      <c r="B59" s="1054" t="s">
        <v>107</v>
      </c>
      <c r="D59" s="1059"/>
      <c r="E59" s="1056"/>
      <c r="F59" s="1069">
        <f>+F58+F50</f>
        <v>10024982128</v>
      </c>
      <c r="G59" s="1056"/>
      <c r="H59" s="1069">
        <v>10368798572.332031</v>
      </c>
      <c r="I59" s="1060"/>
      <c r="J59" s="1060"/>
      <c r="K59" s="1060"/>
      <c r="L59" s="1060"/>
    </row>
    <row r="60" spans="1:12" s="1035" customFormat="1" ht="22.5" customHeight="1" thickTop="1">
      <c r="A60" s="1076"/>
      <c r="B60" s="1077"/>
      <c r="C60" s="1078"/>
      <c r="D60" s="1050"/>
      <c r="E60" s="1079"/>
      <c r="F60" s="1080">
        <f>+F59-F33</f>
        <v>0</v>
      </c>
      <c r="G60" s="1079"/>
      <c r="H60" s="1080">
        <v>0.33203125</v>
      </c>
      <c r="I60" s="1079"/>
      <c r="J60" s="1079"/>
      <c r="K60" s="1079"/>
      <c r="L60" s="1079"/>
    </row>
    <row r="61" spans="1:12" s="1035" customFormat="1" ht="16.5" customHeight="1">
      <c r="A61" s="1039"/>
      <c r="B61" s="1081"/>
      <c r="C61" s="1040"/>
      <c r="D61" s="1039"/>
      <c r="E61" s="1042"/>
      <c r="F61" s="1042"/>
      <c r="G61" s="1042"/>
      <c r="H61" s="1042"/>
      <c r="I61" s="1042"/>
      <c r="J61" s="1042"/>
      <c r="K61" s="1042"/>
      <c r="L61" s="1042"/>
    </row>
    <row r="62" spans="1:12" s="1035" customFormat="1" ht="22.5" customHeight="1">
      <c r="A62" s="1082" t="s">
        <v>5444</v>
      </c>
      <c r="B62" s="1083"/>
      <c r="C62" s="1083"/>
      <c r="D62" s="1083"/>
      <c r="E62" s="1083"/>
      <c r="F62" s="1083"/>
      <c r="G62" s="1083"/>
      <c r="H62" s="1083"/>
      <c r="I62" s="1083"/>
      <c r="J62" s="1083"/>
      <c r="K62" s="1083"/>
      <c r="L62" s="1083"/>
    </row>
    <row r="63" spans="1:12" s="1026" customFormat="1" ht="31.5" customHeight="1">
      <c r="A63" s="1022" t="s">
        <v>5445</v>
      </c>
      <c r="B63" s="1023"/>
      <c r="C63" s="1024"/>
      <c r="D63" s="1023"/>
      <c r="E63" s="1025"/>
      <c r="F63" s="1025"/>
      <c r="G63" s="1025"/>
      <c r="H63" s="1025"/>
      <c r="I63" s="1025"/>
      <c r="J63" s="1025"/>
      <c r="K63" s="1025"/>
      <c r="L63" s="1025"/>
    </row>
    <row r="64" spans="1:12" s="1026" customFormat="1" ht="12" customHeight="1">
      <c r="A64" s="1084"/>
      <c r="B64" s="1023"/>
      <c r="C64" s="1024"/>
      <c r="D64" s="1023"/>
      <c r="E64" s="1025"/>
      <c r="F64" s="1025"/>
      <c r="G64" s="1025"/>
      <c r="H64" s="1025"/>
      <c r="I64" s="1025"/>
      <c r="J64" s="1025"/>
      <c r="K64" s="1025"/>
      <c r="L64" s="1025"/>
    </row>
    <row r="65" spans="1:12" s="1031" customFormat="1" ht="12" customHeight="1">
      <c r="A65" s="1028" t="s">
        <v>5562</v>
      </c>
      <c r="B65" s="1029"/>
      <c r="C65" s="1029"/>
      <c r="D65" s="1029"/>
      <c r="E65" s="1030"/>
      <c r="F65" s="1030"/>
      <c r="G65" s="1030"/>
      <c r="H65" s="1030"/>
      <c r="I65" s="1030"/>
      <c r="J65" s="1030"/>
      <c r="K65" s="1030"/>
      <c r="L65" s="1030"/>
    </row>
    <row r="66" spans="1:12" s="1031" customFormat="1" ht="15.75" customHeight="1">
      <c r="A66" s="1028" t="s">
        <v>5446</v>
      </c>
      <c r="B66" s="1029"/>
      <c r="C66" s="1029"/>
      <c r="D66" s="1029"/>
      <c r="E66" s="1030"/>
      <c r="F66" s="1030"/>
      <c r="G66" s="1030"/>
      <c r="H66" s="1030"/>
      <c r="I66" s="1030"/>
      <c r="J66" s="1030"/>
      <c r="K66" s="1030"/>
      <c r="L66" s="1030"/>
    </row>
    <row r="67" spans="1:12" s="1031" customFormat="1" ht="12" customHeight="1">
      <c r="A67" s="1028"/>
      <c r="B67" s="1029"/>
      <c r="C67" s="1029"/>
      <c r="D67" s="1029"/>
      <c r="E67" s="1030"/>
      <c r="F67" s="1030"/>
      <c r="G67" s="1030"/>
      <c r="H67" s="1030"/>
      <c r="I67" s="1030"/>
      <c r="J67" s="1030"/>
      <c r="K67" s="1030"/>
      <c r="L67" s="1030"/>
    </row>
    <row r="68" spans="1:12" s="1035" customFormat="1" ht="12" customHeight="1">
      <c r="A68" s="1085"/>
      <c r="B68" s="1032"/>
      <c r="C68" s="1033"/>
      <c r="D68" s="1032"/>
      <c r="E68" s="1034"/>
      <c r="F68" s="1034"/>
      <c r="G68" s="1034"/>
      <c r="H68" s="1034"/>
      <c r="I68" s="1034"/>
      <c r="J68" s="1034"/>
      <c r="K68" s="1034"/>
      <c r="L68" s="1034"/>
    </row>
    <row r="69" spans="1:12" s="1035" customFormat="1" ht="12" customHeight="1">
      <c r="A69" s="1036" t="s">
        <v>5397</v>
      </c>
      <c r="B69" s="1032"/>
      <c r="C69" s="1033"/>
      <c r="D69" s="1032"/>
      <c r="E69" s="1034"/>
      <c r="F69" s="1034"/>
      <c r="G69" s="1034"/>
      <c r="H69" s="1034"/>
      <c r="I69" s="1034"/>
      <c r="J69" s="1034"/>
      <c r="K69" s="1034"/>
      <c r="L69" s="1034"/>
    </row>
    <row r="70" spans="1:12" s="1035" customFormat="1" ht="12" customHeight="1">
      <c r="A70" s="1036"/>
      <c r="B70" s="1032"/>
      <c r="C70" s="1033"/>
      <c r="D70" s="1032"/>
      <c r="E70" s="1034"/>
      <c r="F70" s="1034"/>
      <c r="G70" s="1034"/>
      <c r="H70" s="1034"/>
      <c r="I70" s="1034"/>
      <c r="J70" s="1034"/>
      <c r="K70" s="1034"/>
      <c r="L70" s="1034"/>
    </row>
    <row r="71" spans="1:12" s="1035" customFormat="1" ht="4.5" customHeight="1">
      <c r="A71" s="1038"/>
      <c r="B71" s="1039"/>
      <c r="C71" s="1040"/>
      <c r="D71" s="1041"/>
      <c r="E71" s="1042"/>
      <c r="F71" s="1043"/>
      <c r="G71" s="1042"/>
      <c r="H71" s="1043"/>
      <c r="I71" s="1042"/>
      <c r="J71" s="1042"/>
      <c r="K71" s="1042"/>
      <c r="L71" s="1042"/>
    </row>
    <row r="72" spans="1:12" s="1" customFormat="1" ht="25.5" customHeight="1">
      <c r="A72" s="1044"/>
      <c r="B72" s="156"/>
      <c r="C72" s="1045" t="s">
        <v>77</v>
      </c>
      <c r="D72" s="1046"/>
      <c r="E72" s="204" t="s">
        <v>5560</v>
      </c>
      <c r="F72" s="1047"/>
      <c r="G72" s="204" t="s">
        <v>5420</v>
      </c>
      <c r="H72" s="1047"/>
      <c r="I72" s="204"/>
      <c r="J72" s="204"/>
      <c r="K72" s="204"/>
      <c r="L72" s="204"/>
    </row>
    <row r="73" spans="1:12" s="1035" customFormat="1" ht="4.5" customHeight="1">
      <c r="A73" s="1048"/>
      <c r="B73" s="1049"/>
      <c r="C73" s="1049"/>
      <c r="D73" s="1050"/>
      <c r="E73" s="1051"/>
      <c r="F73" s="1052"/>
      <c r="G73" s="1051"/>
      <c r="H73" s="1052"/>
      <c r="I73" s="1051"/>
      <c r="J73" s="1051"/>
      <c r="K73" s="1051"/>
      <c r="L73" s="1051"/>
    </row>
    <row r="74" spans="1:12" s="1035" customFormat="1" ht="22.5" customHeight="1">
      <c r="A74" s="1058" t="s">
        <v>22</v>
      </c>
      <c r="B74" s="1054" t="s">
        <v>5448</v>
      </c>
      <c r="C74" s="1054"/>
      <c r="D74" s="1055"/>
      <c r="E74" s="1056"/>
      <c r="F74" s="1056">
        <f>SUM(E75:E81)</f>
        <v>4992250970</v>
      </c>
      <c r="G74" s="1056"/>
      <c r="H74" s="1056">
        <v>3371877259</v>
      </c>
      <c r="I74" s="1057"/>
      <c r="J74" s="1057"/>
      <c r="K74" s="1057"/>
      <c r="L74" s="1057"/>
    </row>
    <row r="75" spans="1:12" s="1035" customFormat="1" ht="22.5" customHeight="1">
      <c r="A75" s="1058"/>
      <c r="B75" s="1063" t="s">
        <v>25</v>
      </c>
      <c r="C75" s="1064" t="s">
        <v>5449</v>
      </c>
      <c r="D75" s="1055"/>
      <c r="E75" s="1056">
        <f>+FS_worksheet!K131+FS_worksheet!K141</f>
        <v>234719537</v>
      </c>
      <c r="F75" s="1056"/>
      <c r="G75" s="1056">
        <v>270093632</v>
      </c>
      <c r="H75" s="1056"/>
      <c r="I75" s="1057"/>
      <c r="J75" s="1057"/>
      <c r="K75" s="1057"/>
      <c r="L75" s="1057"/>
    </row>
    <row r="76" spans="1:12" s="1035" customFormat="1" ht="22.5" customHeight="1">
      <c r="A76" s="1058"/>
      <c r="B76" s="1063" t="s">
        <v>34</v>
      </c>
      <c r="C76" s="1064" t="s">
        <v>5450</v>
      </c>
      <c r="D76" s="1055"/>
      <c r="E76" s="1056">
        <f>+FS_worksheet!K140</f>
        <v>32200000</v>
      </c>
      <c r="F76" s="1056"/>
      <c r="G76" s="1056">
        <v>31960000</v>
      </c>
      <c r="H76" s="1056"/>
      <c r="I76" s="1057"/>
      <c r="J76" s="1057"/>
      <c r="K76" s="1057"/>
      <c r="L76" s="1057"/>
    </row>
    <row r="77" spans="1:12" s="1035" customFormat="1" ht="22.5" customHeight="1">
      <c r="A77" s="1058"/>
      <c r="B77" s="1063" t="s">
        <v>35</v>
      </c>
      <c r="C77" s="1064" t="s">
        <v>5451</v>
      </c>
      <c r="D77" s="1055"/>
      <c r="E77" s="1056">
        <f>+FS_worksheet!K143+FS_worksheet!K144+FS_worksheet!K145</f>
        <v>19474316</v>
      </c>
      <c r="F77" s="1056"/>
      <c r="G77" s="1056">
        <v>20752516</v>
      </c>
      <c r="H77" s="1056"/>
      <c r="I77" s="1057"/>
      <c r="J77" s="1057"/>
      <c r="K77" s="1057"/>
      <c r="L77" s="1057"/>
    </row>
    <row r="78" spans="1:12" s="1035" customFormat="1" ht="22.5" customHeight="1">
      <c r="A78" s="1058"/>
      <c r="B78" s="1063" t="s">
        <v>36</v>
      </c>
      <c r="C78" s="1064" t="s">
        <v>5452</v>
      </c>
      <c r="D78" s="1059"/>
      <c r="E78" s="1056">
        <f>+FS_worksheet!K139+FS_worksheet!K142+FS_worksheet!K146</f>
        <v>84610080</v>
      </c>
      <c r="F78" s="1086"/>
      <c r="G78" s="1056">
        <v>76223843</v>
      </c>
      <c r="H78" s="1086"/>
      <c r="I78" s="1087"/>
      <c r="J78" s="1087"/>
      <c r="K78" s="1087"/>
      <c r="L78" s="1087"/>
    </row>
    <row r="79" spans="1:12" s="1035" customFormat="1" ht="22.5" customHeight="1">
      <c r="A79" s="1058"/>
      <c r="B79" s="1063" t="s">
        <v>39</v>
      </c>
      <c r="C79" s="1064" t="s">
        <v>5453</v>
      </c>
      <c r="D79" s="1059"/>
      <c r="E79" s="1056">
        <f>+FS_worksheet!K134+FS_worksheet!K135+FS_worksheet!K136+FS_worksheet!K137+FS_worksheet!K138</f>
        <v>423153562</v>
      </c>
      <c r="F79" s="1056"/>
      <c r="G79" s="1056">
        <v>450178402</v>
      </c>
      <c r="H79" s="1056"/>
      <c r="I79" s="1088"/>
      <c r="J79" s="1088"/>
      <c r="K79" s="1088"/>
      <c r="L79" s="1088"/>
    </row>
    <row r="80" spans="1:12" s="1035" customFormat="1" ht="22.5" customHeight="1">
      <c r="A80" s="1058"/>
      <c r="B80" s="1063" t="s">
        <v>43</v>
      </c>
      <c r="C80" s="1064" t="s">
        <v>5454</v>
      </c>
      <c r="D80" s="1059"/>
      <c r="E80" s="1056">
        <f>+FS_worksheet!K132</f>
        <v>125504908</v>
      </c>
      <c r="F80" s="1086"/>
      <c r="G80" s="1056">
        <v>119974545</v>
      </c>
      <c r="H80" s="1086"/>
      <c r="I80" s="1087"/>
      <c r="J80" s="1087"/>
      <c r="K80" s="1087"/>
      <c r="L80" s="1087"/>
    </row>
    <row r="81" spans="1:91" s="1035" customFormat="1" ht="22.5" customHeight="1">
      <c r="A81" s="1058"/>
      <c r="B81" s="1063" t="s">
        <v>44</v>
      </c>
      <c r="C81" s="1064" t="s">
        <v>5455</v>
      </c>
      <c r="D81" s="1059"/>
      <c r="E81" s="1056">
        <f>+FS_worksheet!K133</f>
        <v>4072588567</v>
      </c>
      <c r="F81" s="1086"/>
      <c r="G81" s="1056">
        <v>2402694321</v>
      </c>
      <c r="H81" s="1086"/>
      <c r="I81" s="1087"/>
      <c r="J81" s="1087"/>
      <c r="K81" s="1087"/>
      <c r="L81" s="1087"/>
    </row>
    <row r="82" spans="1:91" s="1035" customFormat="1" ht="22.5" customHeight="1">
      <c r="A82" s="1058" t="s">
        <v>37</v>
      </c>
      <c r="B82" s="1054" t="s">
        <v>5456</v>
      </c>
      <c r="C82" s="1064"/>
      <c r="D82" s="1059"/>
      <c r="E82" s="1056"/>
      <c r="F82" s="1089">
        <f>SUM(E83:E86)</f>
        <v>5260801939</v>
      </c>
      <c r="G82" s="1056"/>
      <c r="H82" s="1089">
        <v>4304626105</v>
      </c>
      <c r="I82" s="1087"/>
      <c r="J82" s="1087"/>
      <c r="K82" s="1087"/>
      <c r="L82" s="1087"/>
    </row>
    <row r="83" spans="1:91" s="1035" customFormat="1" ht="22.5" customHeight="1">
      <c r="A83" s="1058"/>
      <c r="B83" s="1063" t="s">
        <v>25</v>
      </c>
      <c r="C83" s="1064" t="s">
        <v>5457</v>
      </c>
      <c r="D83" s="1059"/>
      <c r="E83" s="1056">
        <f>+FS_worksheet!L165</f>
        <v>4565811464</v>
      </c>
      <c r="F83" s="1089"/>
      <c r="G83" s="1056">
        <v>3486658159</v>
      </c>
      <c r="H83" s="1089"/>
      <c r="I83" s="1087"/>
      <c r="J83" s="1087"/>
      <c r="K83" s="1087"/>
      <c r="L83" s="1087"/>
    </row>
    <row r="84" spans="1:91" s="1035" customFormat="1" ht="22.5" customHeight="1">
      <c r="A84" s="1058"/>
      <c r="B84" s="1063" t="s">
        <v>34</v>
      </c>
      <c r="C84" s="1064" t="s">
        <v>5458</v>
      </c>
      <c r="D84" s="1059"/>
      <c r="E84" s="1056">
        <f>+FS_worksheet!L162</f>
        <v>28384380</v>
      </c>
      <c r="F84" s="1086"/>
      <c r="G84" s="1056">
        <v>62689137</v>
      </c>
      <c r="H84" s="1086"/>
      <c r="I84" s="1087"/>
      <c r="J84" s="1087"/>
      <c r="K84" s="1087"/>
      <c r="L84" s="1087"/>
    </row>
    <row r="85" spans="1:91" s="1035" customFormat="1" ht="22.5" customHeight="1">
      <c r="A85" s="1058"/>
      <c r="B85" s="1063" t="s">
        <v>35</v>
      </c>
      <c r="C85" s="1064" t="s">
        <v>5459</v>
      </c>
      <c r="D85" s="1059"/>
      <c r="E85" s="1056">
        <f>+FS_worksheet!L168</f>
        <v>66255920</v>
      </c>
      <c r="F85" s="1086"/>
      <c r="G85" s="1056">
        <v>100993378</v>
      </c>
      <c r="H85" s="1086"/>
      <c r="I85" s="1087"/>
      <c r="J85" s="1087"/>
      <c r="K85" s="1087"/>
      <c r="L85" s="1087"/>
    </row>
    <row r="86" spans="1:91" s="1035" customFormat="1" ht="22.5" customHeight="1">
      <c r="A86" s="1058"/>
      <c r="B86" s="1063" t="s">
        <v>36</v>
      </c>
      <c r="C86" s="1064" t="s">
        <v>5460</v>
      </c>
      <c r="D86" s="1059"/>
      <c r="E86" s="1056">
        <f>+FS_worksheet!L173</f>
        <v>600350175</v>
      </c>
      <c r="F86" s="1086"/>
      <c r="G86" s="1056">
        <v>654285431</v>
      </c>
      <c r="H86" s="1086"/>
      <c r="I86" s="1087"/>
      <c r="J86" s="1087"/>
      <c r="K86" s="1087"/>
      <c r="L86" s="1087"/>
    </row>
    <row r="87" spans="1:91" s="1035" customFormat="1" ht="22.5" customHeight="1">
      <c r="A87" s="1058" t="s">
        <v>47</v>
      </c>
      <c r="B87" s="1054" t="s">
        <v>5461</v>
      </c>
      <c r="C87" s="1064"/>
      <c r="D87" s="1055"/>
      <c r="E87" s="1056"/>
      <c r="F87" s="1056">
        <f>+F74-F82</f>
        <v>-268550969</v>
      </c>
      <c r="G87" s="1056"/>
      <c r="H87" s="1056">
        <v>-932748846</v>
      </c>
      <c r="I87" s="1057"/>
      <c r="J87" s="1057"/>
      <c r="K87" s="1057"/>
      <c r="L87" s="1057"/>
    </row>
    <row r="88" spans="1:91" s="1035" customFormat="1" ht="22.5" customHeight="1">
      <c r="A88" s="1058" t="s">
        <v>5462</v>
      </c>
      <c r="B88" s="1054" t="s">
        <v>5463</v>
      </c>
      <c r="C88" s="1064"/>
      <c r="D88" s="1059"/>
      <c r="E88" s="1056"/>
      <c r="F88" s="1089">
        <f>+E89</f>
        <v>-39754</v>
      </c>
      <c r="G88" s="1056"/>
      <c r="H88" s="1089">
        <v>-675432</v>
      </c>
      <c r="I88" s="1087"/>
      <c r="J88" s="1087"/>
      <c r="K88" s="1087"/>
      <c r="L88" s="1087"/>
    </row>
    <row r="89" spans="1:91" s="1035" customFormat="1" ht="22.5" customHeight="1">
      <c r="A89" s="1058"/>
      <c r="B89" s="1063" t="s">
        <v>25</v>
      </c>
      <c r="C89" s="1064" t="s">
        <v>5572</v>
      </c>
      <c r="D89" s="1059"/>
      <c r="E89" s="1056">
        <f>-FS_worksheet!K208</f>
        <v>-39754</v>
      </c>
      <c r="F89" s="1089"/>
      <c r="G89" s="1056">
        <v>-675432</v>
      </c>
      <c r="H89" s="1089"/>
      <c r="I89" s="1087"/>
      <c r="J89" s="1087"/>
      <c r="K89" s="1087"/>
      <c r="L89" s="1087"/>
    </row>
    <row r="90" spans="1:91" s="1035" customFormat="1" ht="22.5" customHeight="1" thickBot="1">
      <c r="A90" s="1058" t="s">
        <v>5464</v>
      </c>
      <c r="B90" s="1054" t="s">
        <v>5465</v>
      </c>
      <c r="C90" s="1054"/>
      <c r="D90" s="1055"/>
      <c r="E90" s="1056"/>
      <c r="F90" s="1090">
        <f>+F87+F88</f>
        <v>-268590723</v>
      </c>
      <c r="G90" s="1056"/>
      <c r="H90" s="1090">
        <v>-933424278</v>
      </c>
      <c r="I90" s="1057"/>
      <c r="J90" s="1057"/>
      <c r="K90" s="1057"/>
      <c r="L90" s="1057"/>
    </row>
    <row r="91" spans="1:91" s="1035" customFormat="1" ht="16.5" customHeight="1" thickTop="1">
      <c r="A91" s="1091"/>
      <c r="B91" s="1091"/>
      <c r="C91" s="1091"/>
      <c r="D91" s="1091"/>
      <c r="E91" s="1091"/>
      <c r="F91" s="1091"/>
      <c r="G91" s="1091"/>
      <c r="H91" s="1091"/>
      <c r="I91" s="1091"/>
      <c r="J91" s="1091"/>
      <c r="K91" s="1091"/>
      <c r="L91" s="1091"/>
    </row>
    <row r="92" spans="1:91" s="1035" customFormat="1" ht="22.5" customHeight="1">
      <c r="A92" s="1083" t="s">
        <v>5466</v>
      </c>
      <c r="B92" s="1083"/>
      <c r="C92" s="1083"/>
      <c r="D92" s="1083"/>
      <c r="E92" s="1092"/>
      <c r="F92" s="1092"/>
      <c r="G92" s="1092"/>
      <c r="H92" s="1092"/>
      <c r="I92" s="1092"/>
      <c r="J92" s="1092"/>
      <c r="K92" s="1092"/>
      <c r="L92" s="1092"/>
    </row>
    <row r="93" spans="1:91" s="1026" customFormat="1" ht="32.1" customHeight="1">
      <c r="A93" s="1022" t="s">
        <v>5467</v>
      </c>
      <c r="B93" s="1023"/>
      <c r="C93" s="1024"/>
      <c r="D93" s="1023"/>
      <c r="E93" s="1025"/>
      <c r="F93" s="1025"/>
      <c r="G93" s="1025"/>
      <c r="H93" s="1025"/>
      <c r="I93" s="1025"/>
      <c r="J93" s="1025"/>
      <c r="K93" s="1025"/>
      <c r="L93" s="1025"/>
    </row>
    <row r="94" spans="1:91" s="1026" customFormat="1" ht="12" customHeight="1">
      <c r="A94" s="1027"/>
      <c r="B94" s="1023"/>
      <c r="C94" s="1024"/>
      <c r="D94" s="1023"/>
      <c r="E94" s="1025"/>
      <c r="F94" s="1025"/>
      <c r="G94" s="1025"/>
      <c r="H94" s="1025"/>
      <c r="I94" s="1025"/>
      <c r="J94" s="1025"/>
      <c r="K94" s="1025"/>
      <c r="L94" s="1025"/>
      <c r="M94" s="1035"/>
      <c r="N94" s="1035"/>
      <c r="O94" s="1035"/>
      <c r="P94" s="1035"/>
      <c r="Q94" s="1035"/>
      <c r="R94" s="1035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1031"/>
      <c r="AF94" s="1031"/>
      <c r="AG94" s="1031"/>
      <c r="AH94" s="1031"/>
      <c r="AI94" s="1031"/>
      <c r="AJ94" s="1031"/>
      <c r="AK94" s="1031"/>
      <c r="AL94" s="1031"/>
      <c r="AM94" s="1031"/>
      <c r="AN94" s="1031"/>
      <c r="AO94" s="1031"/>
      <c r="AP94" s="1031"/>
      <c r="AQ94" s="1031"/>
      <c r="AR94" s="1031"/>
      <c r="AS94" s="1031"/>
      <c r="AT94" s="1031"/>
      <c r="AU94" s="1031"/>
      <c r="AV94" s="1031"/>
      <c r="AW94" s="1031"/>
      <c r="AX94" s="1031"/>
      <c r="AY94" s="1031"/>
      <c r="AZ94" s="1031"/>
      <c r="BA94" s="1031"/>
      <c r="BB94" s="1031"/>
      <c r="BC94" s="1031"/>
      <c r="BD94" s="1031"/>
      <c r="BE94" s="1031"/>
      <c r="BF94" s="1031"/>
      <c r="BG94" s="1031"/>
      <c r="BH94" s="1031"/>
      <c r="BI94" s="1031"/>
      <c r="BJ94" s="1031"/>
      <c r="BK94" s="1031"/>
      <c r="BL94" s="1031"/>
      <c r="BM94" s="1031"/>
      <c r="BN94" s="1031"/>
      <c r="BO94" s="1031"/>
      <c r="BP94" s="1031"/>
      <c r="BQ94" s="1031"/>
      <c r="BR94" s="1031"/>
      <c r="BS94" s="1031"/>
      <c r="BT94" s="1031"/>
      <c r="BU94" s="1031"/>
      <c r="BV94" s="1031"/>
      <c r="BW94" s="1031"/>
      <c r="BX94" s="1031"/>
      <c r="BY94" s="1031"/>
      <c r="BZ94" s="1031"/>
      <c r="CA94" s="1031"/>
      <c r="CB94" s="1031"/>
      <c r="CC94" s="1031"/>
      <c r="CD94" s="1031"/>
      <c r="CE94" s="1031"/>
      <c r="CF94" s="1031"/>
      <c r="CG94" s="1031"/>
      <c r="CH94" s="1031"/>
      <c r="CI94" s="1031"/>
      <c r="CJ94" s="1031"/>
      <c r="CK94" s="1031"/>
      <c r="CL94" s="1031"/>
      <c r="CM94" s="1031"/>
    </row>
    <row r="95" spans="1:91" s="1031" customFormat="1" ht="15" customHeight="1">
      <c r="A95" s="1028" t="s">
        <v>5566</v>
      </c>
      <c r="B95" s="1028"/>
      <c r="C95" s="1028"/>
      <c r="D95" s="1028"/>
      <c r="E95" s="1093"/>
      <c r="F95" s="1093"/>
      <c r="G95" s="1093"/>
      <c r="H95" s="1093"/>
      <c r="I95" s="1030"/>
      <c r="J95" s="1030"/>
      <c r="K95" s="1030"/>
      <c r="L95" s="1030"/>
    </row>
    <row r="96" spans="1:91" s="1031" customFormat="1" ht="15" customHeight="1">
      <c r="A96" s="1028" t="s">
        <v>5567</v>
      </c>
      <c r="B96" s="1028"/>
      <c r="C96" s="1028"/>
      <c r="D96" s="1028"/>
      <c r="E96" s="1093"/>
      <c r="F96" s="1093"/>
      <c r="G96" s="1093"/>
      <c r="H96" s="1093"/>
      <c r="I96" s="1030"/>
      <c r="J96" s="1030"/>
      <c r="K96" s="1030"/>
      <c r="L96" s="1030"/>
    </row>
    <row r="97" spans="1:12" s="1094" customFormat="1" ht="22.5" customHeight="1">
      <c r="A97" s="1093" t="s">
        <v>5568</v>
      </c>
      <c r="B97" s="1093"/>
      <c r="C97" s="1093"/>
      <c r="D97" s="1093"/>
      <c r="E97" s="1093"/>
      <c r="F97" s="1093"/>
      <c r="G97" s="1093"/>
      <c r="H97" s="1093"/>
      <c r="I97" s="1030"/>
      <c r="J97" s="1030"/>
      <c r="K97" s="1030"/>
      <c r="L97" s="1030"/>
    </row>
    <row r="98" spans="1:12" s="1031" customFormat="1" ht="12" customHeight="1">
      <c r="A98" s="1029"/>
      <c r="B98" s="1029"/>
      <c r="C98" s="1029"/>
      <c r="D98" s="1029"/>
      <c r="E98" s="1030"/>
      <c r="F98" s="1030"/>
      <c r="G98" s="1030"/>
      <c r="H98" s="1030"/>
      <c r="I98" s="1030"/>
      <c r="J98" s="1030"/>
      <c r="K98" s="1030"/>
      <c r="L98" s="1030"/>
    </row>
    <row r="99" spans="1:12" s="1031" customFormat="1" ht="12" customHeight="1">
      <c r="A99" s="1029"/>
      <c r="B99" s="1029"/>
      <c r="C99" s="1029"/>
      <c r="D99" s="1029"/>
      <c r="E99" s="1030"/>
      <c r="F99" s="1030"/>
      <c r="G99" s="1030"/>
      <c r="H99" s="1030"/>
      <c r="I99" s="1030"/>
      <c r="J99" s="1030"/>
      <c r="K99" s="1030"/>
      <c r="L99" s="1030"/>
    </row>
    <row r="100" spans="1:12" s="1031" customFormat="1" ht="12" customHeight="1">
      <c r="A100" s="1029"/>
      <c r="B100" s="1029"/>
      <c r="C100" s="1029"/>
      <c r="D100" s="1029"/>
      <c r="E100" s="1030"/>
      <c r="F100" s="1030"/>
      <c r="G100" s="1030"/>
      <c r="H100" s="1030"/>
      <c r="I100" s="1030"/>
      <c r="J100" s="1030"/>
      <c r="K100" s="1030"/>
      <c r="L100" s="1030"/>
    </row>
    <row r="101" spans="1:12" s="1035" customFormat="1" ht="12" customHeight="1">
      <c r="A101" s="1036" t="s">
        <v>5397</v>
      </c>
      <c r="B101" s="1032"/>
      <c r="C101" s="1033"/>
      <c r="D101" s="1032"/>
      <c r="E101" s="1034"/>
      <c r="F101" s="1034"/>
      <c r="G101" s="1034"/>
      <c r="H101" s="1034"/>
      <c r="I101" s="1034"/>
      <c r="J101" s="1034"/>
      <c r="K101" s="1034"/>
      <c r="L101" s="1034"/>
    </row>
    <row r="102" spans="1:12" s="1035" customFormat="1" ht="12" customHeight="1">
      <c r="A102" s="1037"/>
      <c r="B102" s="1032"/>
      <c r="C102" s="1033"/>
      <c r="D102" s="1032"/>
      <c r="E102" s="1034"/>
      <c r="F102" s="1034"/>
      <c r="G102" s="1034"/>
      <c r="H102" s="1034"/>
      <c r="I102" s="1034"/>
      <c r="J102" s="1034"/>
      <c r="K102" s="1034"/>
      <c r="L102" s="1034"/>
    </row>
    <row r="103" spans="1:12" s="1035" customFormat="1" ht="4.5" customHeight="1">
      <c r="A103" s="1038"/>
      <c r="B103" s="1039"/>
      <c r="C103" s="1040"/>
      <c r="D103" s="1041"/>
      <c r="E103" s="1042"/>
      <c r="F103" s="1043"/>
      <c r="G103" s="1042"/>
      <c r="H103" s="1043"/>
      <c r="I103" s="1042"/>
      <c r="J103" s="1042"/>
      <c r="K103" s="1042"/>
      <c r="L103" s="1042"/>
    </row>
    <row r="104" spans="1:12" s="1" customFormat="1" ht="25.5" customHeight="1">
      <c r="A104" s="1044"/>
      <c r="B104" s="156"/>
      <c r="C104" s="1045" t="s">
        <v>77</v>
      </c>
      <c r="D104" s="1046"/>
      <c r="E104" s="204" t="s">
        <v>5565</v>
      </c>
      <c r="F104" s="1047"/>
      <c r="G104" s="204" t="s">
        <v>5420</v>
      </c>
      <c r="H104" s="1047"/>
      <c r="I104" s="204"/>
      <c r="J104" s="204"/>
      <c r="K104" s="204"/>
      <c r="L104" s="204"/>
    </row>
    <row r="105" spans="1:12" s="1035" customFormat="1" ht="4.5" customHeight="1">
      <c r="A105" s="1048"/>
      <c r="B105" s="1049"/>
      <c r="C105" s="1049"/>
      <c r="D105" s="1050"/>
      <c r="E105" s="1051"/>
      <c r="F105" s="1052"/>
      <c r="G105" s="1051"/>
      <c r="H105" s="1052"/>
      <c r="I105" s="1051"/>
      <c r="J105" s="1051"/>
      <c r="K105" s="1051"/>
      <c r="L105" s="1051"/>
    </row>
    <row r="106" spans="1:12" s="1035" customFormat="1" ht="22.5" customHeight="1">
      <c r="A106" s="1058" t="s">
        <v>22</v>
      </c>
      <c r="B106" s="1031" t="s">
        <v>5468</v>
      </c>
      <c r="C106" s="1031"/>
      <c r="D106" s="1055"/>
      <c r="E106" s="1056"/>
      <c r="F106" s="1056">
        <f>SUM(E107:E109)</f>
        <v>437210813.33203173</v>
      </c>
      <c r="G106" s="1056"/>
      <c r="H106" s="1056">
        <v>705801536.33203173</v>
      </c>
      <c r="I106" s="1057"/>
      <c r="J106" s="1057"/>
      <c r="K106" s="1057"/>
      <c r="L106" s="1057"/>
    </row>
    <row r="107" spans="1:12" s="1035" customFormat="1" ht="22.5" customHeight="1">
      <c r="A107" s="1058"/>
      <c r="B107" s="1063" t="s">
        <v>25</v>
      </c>
      <c r="C107" s="1035" t="s">
        <v>5469</v>
      </c>
      <c r="D107" s="1059"/>
      <c r="E107" s="1067">
        <f>+H110</f>
        <v>705801536.33203173</v>
      </c>
      <c r="F107" s="1067"/>
      <c r="G107" s="1067">
        <v>1639225814.3320317</v>
      </c>
      <c r="H107" s="1067"/>
      <c r="I107" s="1095"/>
      <c r="J107" s="1095"/>
      <c r="K107" s="1095"/>
      <c r="L107" s="1095"/>
    </row>
    <row r="108" spans="1:12" s="1035" customFormat="1" ht="22.5" customHeight="1">
      <c r="A108" s="1058"/>
      <c r="B108" s="1063" t="s">
        <v>34</v>
      </c>
      <c r="C108" s="1064" t="s">
        <v>5470</v>
      </c>
      <c r="D108" s="1059"/>
      <c r="E108" s="1056">
        <v>0</v>
      </c>
      <c r="F108" s="1056"/>
      <c r="G108" s="1056">
        <v>0</v>
      </c>
      <c r="H108" s="1056"/>
      <c r="I108" s="1057"/>
      <c r="J108" s="1057"/>
      <c r="K108" s="1057"/>
      <c r="L108" s="1057"/>
    </row>
    <row r="109" spans="1:12" s="1035" customFormat="1" ht="22.5" customHeight="1">
      <c r="A109" s="1058"/>
      <c r="B109" s="1063" t="s">
        <v>35</v>
      </c>
      <c r="C109" s="1064" t="s">
        <v>5465</v>
      </c>
      <c r="D109" s="1059"/>
      <c r="E109" s="1056">
        <f>+F90</f>
        <v>-268590723</v>
      </c>
      <c r="F109" s="1056"/>
      <c r="G109" s="1056">
        <v>-933424278</v>
      </c>
      <c r="H109" s="1056"/>
      <c r="I109" s="1057"/>
      <c r="J109" s="1057"/>
      <c r="K109" s="1057"/>
      <c r="L109" s="1057"/>
    </row>
    <row r="110" spans="1:12" s="1035" customFormat="1" ht="22.5" customHeight="1" thickBot="1">
      <c r="A110" s="1058" t="s">
        <v>37</v>
      </c>
      <c r="B110" s="1031" t="s">
        <v>5471</v>
      </c>
      <c r="D110" s="1059"/>
      <c r="E110" s="1056"/>
      <c r="F110" s="1096">
        <f>+F106</f>
        <v>437210813.33203173</v>
      </c>
      <c r="G110" s="1056"/>
      <c r="H110" s="1096">
        <v>705801536.33203173</v>
      </c>
      <c r="I110" s="1057"/>
      <c r="J110" s="1057"/>
      <c r="K110" s="1057"/>
      <c r="L110" s="1057"/>
    </row>
    <row r="111" spans="1:12" s="1035" customFormat="1" ht="22.5" customHeight="1" thickTop="1">
      <c r="A111" s="1097"/>
      <c r="B111" s="1077"/>
      <c r="C111" s="1077"/>
      <c r="D111" s="1098"/>
      <c r="E111" s="1079"/>
      <c r="F111" s="1079">
        <v>0</v>
      </c>
      <c r="G111" s="1079"/>
      <c r="H111" s="1079">
        <v>0</v>
      </c>
      <c r="I111" s="1079"/>
      <c r="J111" s="1079"/>
      <c r="K111" s="1079"/>
      <c r="L111" s="1079"/>
    </row>
    <row r="112" spans="1:12" s="1035" customFormat="1" ht="16.5" customHeight="1">
      <c r="A112" s="1031"/>
      <c r="B112" s="1031"/>
      <c r="C112" s="1031"/>
      <c r="D112" s="1063"/>
      <c r="E112" s="1099"/>
      <c r="F112" s="1099"/>
      <c r="G112" s="1099"/>
      <c r="H112" s="1099"/>
      <c r="I112" s="1099"/>
      <c r="J112" s="1099"/>
      <c r="K112" s="1099"/>
      <c r="L112" s="1099"/>
    </row>
    <row r="113" spans="1:13" s="1101" customFormat="1" ht="22.5" customHeight="1">
      <c r="A113" s="1083" t="s">
        <v>5472</v>
      </c>
      <c r="B113" s="1100"/>
      <c r="C113" s="1083"/>
      <c r="D113" s="1100"/>
      <c r="E113" s="1092"/>
      <c r="F113" s="1092"/>
      <c r="G113" s="1092"/>
      <c r="H113" s="1092"/>
      <c r="I113" s="1092"/>
      <c r="J113" s="1092"/>
      <c r="K113" s="1092"/>
      <c r="L113" s="1092"/>
    </row>
    <row r="114" spans="1:13" s="1107" customFormat="1" ht="31.5" customHeight="1">
      <c r="A114" s="1102" t="s">
        <v>5473</v>
      </c>
      <c r="B114" s="1103"/>
      <c r="C114" s="1104"/>
      <c r="D114" s="1103"/>
      <c r="E114" s="1105"/>
      <c r="F114" s="1105"/>
      <c r="G114" s="1105"/>
      <c r="H114" s="1105"/>
      <c r="I114" s="1105"/>
      <c r="J114" s="1105"/>
      <c r="K114" s="1105"/>
      <c r="L114" s="1105"/>
      <c r="M114" s="1106"/>
    </row>
    <row r="115" spans="1:13" s="1026" customFormat="1" ht="12" customHeight="1">
      <c r="A115" s="1027"/>
      <c r="B115" s="1023"/>
      <c r="C115" s="1024"/>
      <c r="D115" s="1023"/>
      <c r="E115" s="1025"/>
      <c r="F115" s="1025"/>
      <c r="G115" s="1025"/>
      <c r="H115" s="1025"/>
      <c r="I115" s="1025"/>
      <c r="J115" s="1025"/>
      <c r="K115" s="1025"/>
      <c r="L115" s="1025"/>
      <c r="M115" s="1108"/>
    </row>
    <row r="116" spans="1:13" s="1031" customFormat="1" ht="12" customHeight="1">
      <c r="A116" s="1028" t="s">
        <v>5562</v>
      </c>
      <c r="B116" s="1029"/>
      <c r="C116" s="1029"/>
      <c r="D116" s="1029"/>
      <c r="E116" s="1030"/>
      <c r="F116" s="1030"/>
      <c r="G116" s="1030"/>
      <c r="H116" s="1030"/>
      <c r="I116" s="1030"/>
      <c r="J116" s="1030"/>
      <c r="K116" s="1030"/>
      <c r="L116" s="1030"/>
    </row>
    <row r="117" spans="1:13" s="1031" customFormat="1" ht="15.75" customHeight="1">
      <c r="A117" s="1028" t="s">
        <v>5446</v>
      </c>
      <c r="B117" s="1029"/>
      <c r="C117" s="1029"/>
      <c r="D117" s="1029"/>
      <c r="E117" s="1030"/>
      <c r="F117" s="1030"/>
      <c r="G117" s="1030"/>
      <c r="H117" s="1030"/>
      <c r="I117" s="1030"/>
      <c r="J117" s="1030"/>
      <c r="K117" s="1030"/>
      <c r="L117" s="1030"/>
    </row>
    <row r="118" spans="1:13" s="1031" customFormat="1" ht="12" customHeight="1">
      <c r="A118" s="1029"/>
      <c r="B118" s="1029"/>
      <c r="C118" s="1029"/>
      <c r="D118" s="1029"/>
      <c r="E118" s="1030"/>
      <c r="F118" s="1030"/>
      <c r="G118" s="1030"/>
      <c r="H118" s="1030"/>
      <c r="I118" s="1030"/>
      <c r="J118" s="1030"/>
      <c r="K118" s="1030"/>
      <c r="L118" s="1030"/>
      <c r="M118" s="1109"/>
    </row>
    <row r="119" spans="1:13" s="1035" customFormat="1" ht="12" customHeight="1">
      <c r="A119" s="1032"/>
      <c r="B119" s="1032"/>
      <c r="C119" s="1033"/>
      <c r="D119" s="1032"/>
      <c r="E119" s="1034"/>
      <c r="F119" s="1034"/>
      <c r="G119" s="1034"/>
      <c r="H119" s="1034"/>
      <c r="I119" s="1034"/>
      <c r="J119" s="1034"/>
      <c r="K119" s="1034"/>
      <c r="L119" s="1034"/>
      <c r="M119" s="1109"/>
    </row>
    <row r="120" spans="1:13" s="1035" customFormat="1" ht="12" customHeight="1">
      <c r="A120" s="1036" t="s">
        <v>5397</v>
      </c>
      <c r="B120" s="1032"/>
      <c r="C120" s="1033"/>
      <c r="D120" s="1032"/>
      <c r="E120" s="1034"/>
      <c r="F120" s="1034"/>
      <c r="G120" s="1034"/>
      <c r="H120" s="1034"/>
      <c r="I120" s="1034"/>
      <c r="J120" s="1034"/>
      <c r="K120" s="1034"/>
      <c r="L120" s="1034"/>
      <c r="M120" s="1109"/>
    </row>
    <row r="121" spans="1:13" s="1035" customFormat="1" ht="12" customHeight="1">
      <c r="A121" s="1037"/>
      <c r="B121" s="1032"/>
      <c r="C121" s="1033"/>
      <c r="D121" s="1032"/>
      <c r="E121" s="1034"/>
      <c r="F121" s="1034"/>
      <c r="G121" s="1034"/>
      <c r="H121" s="1034"/>
      <c r="I121" s="1034"/>
      <c r="J121" s="1034"/>
      <c r="K121" s="1034"/>
      <c r="L121" s="1034"/>
      <c r="M121" s="1109"/>
    </row>
    <row r="122" spans="1:13" s="1035" customFormat="1" ht="4.5" customHeight="1">
      <c r="A122" s="1038"/>
      <c r="B122" s="1039"/>
      <c r="C122" s="1040"/>
      <c r="D122" s="1041"/>
      <c r="E122" s="1042"/>
      <c r="F122" s="1043"/>
      <c r="G122" s="1042"/>
      <c r="H122" s="1043"/>
      <c r="I122" s="1042"/>
      <c r="J122" s="1042"/>
      <c r="K122" s="1042"/>
      <c r="L122" s="1042"/>
    </row>
    <row r="123" spans="1:13" s="1" customFormat="1" ht="25.5" customHeight="1">
      <c r="A123" s="1044"/>
      <c r="B123" s="156"/>
      <c r="C123" s="1045" t="s">
        <v>77</v>
      </c>
      <c r="D123" s="1046"/>
      <c r="E123" s="204" t="s">
        <v>5560</v>
      </c>
      <c r="F123" s="1047"/>
      <c r="G123" s="204" t="s">
        <v>5420</v>
      </c>
      <c r="H123" s="1047"/>
      <c r="I123" s="204"/>
      <c r="J123" s="204"/>
      <c r="K123" s="204"/>
      <c r="L123" s="204"/>
    </row>
    <row r="124" spans="1:13" s="1035" customFormat="1" ht="4.5" customHeight="1">
      <c r="A124" s="1048"/>
      <c r="B124" s="1049"/>
      <c r="C124" s="1049"/>
      <c r="D124" s="1050"/>
      <c r="E124" s="1051"/>
      <c r="F124" s="1052"/>
      <c r="G124" s="1051"/>
      <c r="H124" s="1052"/>
      <c r="I124" s="1051"/>
      <c r="J124" s="1051"/>
      <c r="K124" s="1051"/>
      <c r="L124" s="1051"/>
    </row>
    <row r="125" spans="1:13" s="1035" customFormat="1" ht="22.5" customHeight="1">
      <c r="A125" s="1058" t="s">
        <v>22</v>
      </c>
      <c r="B125" s="1054" t="s">
        <v>5474</v>
      </c>
      <c r="C125" s="1031"/>
      <c r="D125" s="1055"/>
      <c r="E125" s="1056"/>
      <c r="F125" s="1110">
        <f>+E126+E128+E132+E135</f>
        <v>-485955475</v>
      </c>
      <c r="G125" s="1056"/>
      <c r="H125" s="1110">
        <v>-88910288.667968392</v>
      </c>
      <c r="I125" s="1060"/>
      <c r="J125" s="1060"/>
      <c r="K125" s="1060"/>
      <c r="L125" s="1060"/>
      <c r="M125" s="1109"/>
    </row>
    <row r="126" spans="1:13" s="1035" customFormat="1" ht="22.5" customHeight="1">
      <c r="A126" s="1058"/>
      <c r="B126" s="1063" t="s">
        <v>25</v>
      </c>
      <c r="C126" s="1064" t="s">
        <v>5475</v>
      </c>
      <c r="D126" s="1059"/>
      <c r="E126" s="1111">
        <f>+E109</f>
        <v>-268590723</v>
      </c>
      <c r="F126" s="1112"/>
      <c r="G126" s="1111">
        <v>-933424278</v>
      </c>
      <c r="H126" s="1112"/>
      <c r="I126" s="1060"/>
      <c r="J126" s="1060"/>
      <c r="K126" s="1060"/>
      <c r="L126" s="1060"/>
      <c r="M126" s="1109"/>
    </row>
    <row r="127" spans="1:13" s="1035" customFormat="1" ht="22.5" customHeight="1">
      <c r="A127" s="1058"/>
      <c r="B127" s="1063" t="s">
        <v>34</v>
      </c>
      <c r="C127" s="1064" t="s">
        <v>5476</v>
      </c>
      <c r="D127" s="1059"/>
      <c r="F127" s="1067"/>
      <c r="H127" s="1067"/>
      <c r="I127" s="1060"/>
      <c r="J127" s="1060"/>
      <c r="K127" s="1060"/>
      <c r="L127" s="1060"/>
      <c r="M127" s="1109"/>
    </row>
    <row r="128" spans="1:13" s="1035" customFormat="1" ht="16.5" customHeight="1">
      <c r="A128" s="1058"/>
      <c r="B128" s="1063"/>
      <c r="C128" s="1064" t="s">
        <v>5477</v>
      </c>
      <c r="D128" s="1059"/>
      <c r="E128" s="1111">
        <f>SUM(E129:E130)</f>
        <v>132482843</v>
      </c>
      <c r="F128" s="1067"/>
      <c r="G128" s="1111">
        <v>120886175</v>
      </c>
      <c r="H128" s="1067"/>
      <c r="I128" s="1060"/>
      <c r="J128" s="1060"/>
      <c r="K128" s="1060"/>
      <c r="L128" s="1060"/>
      <c r="M128" s="1109"/>
    </row>
    <row r="129" spans="1:13" s="1035" customFormat="1" ht="22.5" customHeight="1">
      <c r="A129" s="1058"/>
      <c r="B129" s="1074"/>
      <c r="C129" s="1064" t="s">
        <v>5478</v>
      </c>
      <c r="D129" s="1059"/>
      <c r="E129" s="1068">
        <f>+FS_worksheet!K197</f>
        <v>56497350</v>
      </c>
      <c r="F129" s="1067"/>
      <c r="G129" s="1068">
        <v>44027322</v>
      </c>
      <c r="H129" s="1067"/>
      <c r="I129" s="1060"/>
      <c r="J129" s="1060"/>
      <c r="K129" s="1060"/>
      <c r="L129" s="1060"/>
      <c r="M129" s="1109"/>
    </row>
    <row r="130" spans="1:13" s="1035" customFormat="1" ht="22.5" customHeight="1">
      <c r="A130" s="1058"/>
      <c r="B130" s="1074"/>
      <c r="C130" s="1064" t="s">
        <v>5479</v>
      </c>
      <c r="D130" s="1059"/>
      <c r="E130" s="1068">
        <f>+FS_worksheet!K193</f>
        <v>75985493</v>
      </c>
      <c r="F130" s="1067"/>
      <c r="G130" s="1068">
        <v>76858853</v>
      </c>
      <c r="H130" s="1067"/>
      <c r="I130" s="1060"/>
      <c r="J130" s="1060"/>
      <c r="K130" s="1060"/>
      <c r="L130" s="1060"/>
      <c r="M130" s="1109"/>
    </row>
    <row r="131" spans="1:13" s="1035" customFormat="1" ht="22.5" customHeight="1">
      <c r="A131" s="1058"/>
      <c r="B131" s="1063" t="s">
        <v>35</v>
      </c>
      <c r="C131" s="1064" t="s">
        <v>5480</v>
      </c>
      <c r="D131" s="1059"/>
      <c r="F131" s="1067"/>
      <c r="H131" s="1067"/>
      <c r="I131" s="1060"/>
      <c r="J131" s="1060"/>
      <c r="K131" s="1060"/>
      <c r="L131" s="1060"/>
      <c r="M131" s="1109"/>
    </row>
    <row r="132" spans="1:13" s="1035" customFormat="1" ht="16.5" customHeight="1">
      <c r="A132" s="1058"/>
      <c r="B132" s="1063"/>
      <c r="C132" s="1064" t="s">
        <v>5481</v>
      </c>
      <c r="D132" s="1059"/>
      <c r="E132" s="1111">
        <v>0</v>
      </c>
      <c r="F132" s="1067"/>
      <c r="G132" s="1111">
        <v>-7224054</v>
      </c>
      <c r="H132" s="1067"/>
      <c r="I132" s="1060"/>
      <c r="J132" s="1060"/>
      <c r="K132" s="1060"/>
      <c r="L132" s="1060"/>
      <c r="M132" s="1109"/>
    </row>
    <row r="133" spans="1:13" s="1035" customFormat="1" ht="22.5" customHeight="1">
      <c r="A133" s="1058"/>
      <c r="B133" s="1063"/>
      <c r="C133" s="1064" t="s">
        <v>5482</v>
      </c>
      <c r="D133" s="1059"/>
      <c r="E133" s="1068">
        <v>0</v>
      </c>
      <c r="F133" s="1067"/>
      <c r="G133" s="1068">
        <v>7224054</v>
      </c>
      <c r="H133" s="1067"/>
      <c r="I133" s="1060"/>
      <c r="J133" s="1060"/>
      <c r="K133" s="1060"/>
      <c r="L133" s="1060"/>
      <c r="M133" s="1109"/>
    </row>
    <row r="134" spans="1:13" s="1035" customFormat="1" ht="22.5" customHeight="1">
      <c r="A134" s="1058"/>
      <c r="B134" s="1063" t="s">
        <v>5483</v>
      </c>
      <c r="C134" s="1064" t="s">
        <v>5484</v>
      </c>
      <c r="D134" s="1059"/>
      <c r="F134" s="1067"/>
      <c r="H134" s="1067"/>
      <c r="I134" s="1060"/>
      <c r="J134" s="1060"/>
      <c r="K134" s="1060"/>
      <c r="L134" s="1060"/>
      <c r="M134" s="1109"/>
    </row>
    <row r="135" spans="1:13" s="1035" customFormat="1" ht="16.5" customHeight="1">
      <c r="A135" s="1058"/>
      <c r="B135" s="1063"/>
      <c r="C135" s="1064" t="s">
        <v>5485</v>
      </c>
      <c r="D135" s="1059"/>
      <c r="E135" s="1066">
        <f>SUM(E136:E145)</f>
        <v>-349847595</v>
      </c>
      <c r="F135" s="1067"/>
      <c r="G135" s="1066">
        <v>730851868.33203161</v>
      </c>
      <c r="H135" s="1067"/>
      <c r="I135" s="1060"/>
      <c r="J135" s="1060"/>
      <c r="K135" s="1060"/>
      <c r="L135" s="1060"/>
      <c r="M135" s="1109"/>
    </row>
    <row r="136" spans="1:13" s="1035" customFormat="1" ht="22.5" customHeight="1">
      <c r="A136" s="1058"/>
      <c r="B136" s="1074"/>
      <c r="C136" s="1064" t="s">
        <v>5569</v>
      </c>
      <c r="D136" s="1059"/>
      <c r="E136" s="1068">
        <f>-E18</f>
        <v>-4180000</v>
      </c>
      <c r="F136" s="1067"/>
      <c r="G136" s="1068">
        <v>0</v>
      </c>
      <c r="H136" s="1067"/>
      <c r="I136" s="1060"/>
      <c r="J136" s="1060"/>
      <c r="K136" s="1060"/>
      <c r="L136" s="1060"/>
      <c r="M136" s="1109"/>
    </row>
    <row r="137" spans="1:13" s="1035" customFormat="1" ht="22.5" customHeight="1">
      <c r="A137" s="1058"/>
      <c r="B137" s="1074"/>
      <c r="C137" s="1064" t="s">
        <v>5486</v>
      </c>
      <c r="D137" s="1059"/>
      <c r="E137" s="1056">
        <f>+G20-E20</f>
        <v>1494210</v>
      </c>
      <c r="F137" s="1056"/>
      <c r="G137" s="1056">
        <v>14506740</v>
      </c>
      <c r="H137" s="1056"/>
      <c r="I137" s="1060"/>
      <c r="J137" s="1060"/>
      <c r="K137" s="1060"/>
      <c r="L137" s="1060"/>
      <c r="M137" s="1109"/>
    </row>
    <row r="138" spans="1:13" s="1035" customFormat="1" ht="22.5" customHeight="1">
      <c r="A138" s="1058"/>
      <c r="B138" s="1074"/>
      <c r="C138" s="1064" t="s">
        <v>5487</v>
      </c>
      <c r="D138" s="1059"/>
      <c r="E138" s="1056">
        <f>+G19-E19</f>
        <v>-2324881</v>
      </c>
      <c r="F138" s="1056"/>
      <c r="G138" s="1056">
        <v>-10252805.667968392</v>
      </c>
      <c r="H138" s="1056"/>
      <c r="I138" s="1060"/>
      <c r="J138" s="1060"/>
      <c r="K138" s="1060"/>
      <c r="L138" s="1060"/>
      <c r="M138" s="1109"/>
    </row>
    <row r="139" spans="1:13" s="1035" customFormat="1" ht="22.5" customHeight="1">
      <c r="A139" s="1058"/>
      <c r="B139" s="1074"/>
      <c r="C139" s="1064" t="s">
        <v>5571</v>
      </c>
      <c r="D139" s="1059"/>
      <c r="E139" s="1056">
        <f>+G21-E21</f>
        <v>21168290</v>
      </c>
      <c r="F139" s="1056"/>
      <c r="G139" s="1056">
        <v>-1648470</v>
      </c>
      <c r="H139" s="1056"/>
      <c r="I139" s="1060"/>
      <c r="J139" s="1060"/>
      <c r="K139" s="1060"/>
      <c r="L139" s="1060"/>
      <c r="M139" s="1109"/>
    </row>
    <row r="140" spans="1:13" s="1035" customFormat="1" ht="22.5" customHeight="1">
      <c r="A140" s="1058"/>
      <c r="B140" s="1074"/>
      <c r="C140" s="1064" t="s">
        <v>5488</v>
      </c>
      <c r="D140" s="1059"/>
      <c r="E140" s="1056">
        <f>+E44-G44</f>
        <v>-347623461</v>
      </c>
      <c r="F140" s="1056"/>
      <c r="G140" s="1056">
        <v>753516677</v>
      </c>
      <c r="H140" s="1056"/>
      <c r="I140" s="1060"/>
      <c r="J140" s="1060"/>
      <c r="K140" s="1060"/>
      <c r="L140" s="1060"/>
      <c r="M140" s="1109"/>
    </row>
    <row r="141" spans="1:13" s="1035" customFormat="1" ht="22.5" customHeight="1">
      <c r="A141" s="1058"/>
      <c r="B141" s="1074"/>
      <c r="C141" s="1064" t="s">
        <v>5489</v>
      </c>
      <c r="D141" s="1059"/>
      <c r="E141" s="1056">
        <f>+E42-G42</f>
        <v>14179596</v>
      </c>
      <c r="F141" s="1056"/>
      <c r="G141" s="1056">
        <v>10963511</v>
      </c>
      <c r="H141" s="1056"/>
      <c r="I141" s="1060"/>
      <c r="J141" s="1060"/>
      <c r="K141" s="1060"/>
      <c r="L141" s="1060"/>
      <c r="M141" s="1109"/>
    </row>
    <row r="142" spans="1:13" s="1035" customFormat="1" ht="22.5" customHeight="1">
      <c r="A142" s="1058"/>
      <c r="B142" s="1074"/>
      <c r="C142" s="1064" t="s">
        <v>5490</v>
      </c>
      <c r="D142" s="1059"/>
      <c r="E142" s="1056">
        <f>+E43-G43</f>
        <v>-1378050</v>
      </c>
      <c r="F142" s="1056"/>
      <c r="G142" s="1056">
        <v>-3013370</v>
      </c>
      <c r="H142" s="1056"/>
      <c r="I142" s="1060"/>
      <c r="J142" s="1060"/>
      <c r="K142" s="1060"/>
      <c r="L142" s="1060"/>
      <c r="M142" s="1109"/>
    </row>
    <row r="143" spans="1:13" s="1035" customFormat="1" ht="22.5" customHeight="1">
      <c r="A143" s="1058"/>
      <c r="B143" s="1074"/>
      <c r="C143" s="1064" t="s">
        <v>5491</v>
      </c>
      <c r="D143" s="1059"/>
      <c r="E143" s="1056">
        <v>0</v>
      </c>
      <c r="F143" s="1056"/>
      <c r="G143" s="1056">
        <v>-4467338</v>
      </c>
      <c r="H143" s="1056"/>
      <c r="I143" s="1060"/>
      <c r="J143" s="1060"/>
      <c r="K143" s="1060"/>
      <c r="L143" s="1060"/>
      <c r="M143" s="1109"/>
    </row>
    <row r="144" spans="1:13" s="1035" customFormat="1" ht="22.5" customHeight="1">
      <c r="A144" s="1058"/>
      <c r="B144" s="1074"/>
      <c r="C144" s="1064" t="s">
        <v>5492</v>
      </c>
      <c r="D144" s="1059"/>
      <c r="E144" s="1056">
        <f>-(+G49-E49)</f>
        <v>15745771</v>
      </c>
      <c r="F144" s="1056"/>
      <c r="G144" s="1056">
        <v>12794037</v>
      </c>
      <c r="H144" s="1056"/>
      <c r="I144" s="1060"/>
      <c r="J144" s="1060"/>
      <c r="K144" s="1060"/>
      <c r="L144" s="1060"/>
      <c r="M144" s="1109"/>
    </row>
    <row r="145" spans="1:13" s="1035" customFormat="1" ht="22.5" customHeight="1">
      <c r="A145" s="1058"/>
      <c r="B145" s="1074"/>
      <c r="C145" s="1064" t="s">
        <v>5493</v>
      </c>
      <c r="D145" s="1059"/>
      <c r="E145" s="1056">
        <v>-46929070</v>
      </c>
      <c r="F145" s="1067"/>
      <c r="G145" s="1056">
        <v>-41547113</v>
      </c>
      <c r="H145" s="1067"/>
      <c r="I145" s="1060"/>
      <c r="J145" s="1060"/>
      <c r="K145" s="1060"/>
      <c r="L145" s="1060"/>
      <c r="M145" s="1109"/>
    </row>
    <row r="146" spans="1:13" s="1035" customFormat="1" ht="22.5" customHeight="1">
      <c r="A146" s="1058" t="s">
        <v>37</v>
      </c>
      <c r="B146" s="1064" t="s">
        <v>5494</v>
      </c>
      <c r="C146" s="1033"/>
      <c r="D146" s="1059"/>
      <c r="E146" s="1067"/>
      <c r="F146" s="1066">
        <f>+E147+E158</f>
        <v>227066639</v>
      </c>
      <c r="G146" s="1067"/>
      <c r="H146" s="1066">
        <v>-677624071</v>
      </c>
      <c r="I146" s="1113"/>
      <c r="J146" s="1113"/>
      <c r="K146" s="1113"/>
      <c r="L146" s="1113"/>
      <c r="M146" s="1109"/>
    </row>
    <row r="147" spans="1:13" s="1035" customFormat="1" ht="22.5" customHeight="1">
      <c r="A147" s="1058"/>
      <c r="B147" s="1063" t="s">
        <v>25</v>
      </c>
      <c r="C147" s="1072" t="s">
        <v>5495</v>
      </c>
      <c r="D147" s="1059"/>
      <c r="E147" s="1066">
        <f>SUM(E157+E149)</f>
        <v>366554535</v>
      </c>
      <c r="F147" s="1067"/>
      <c r="G147" s="1066">
        <v>10000000</v>
      </c>
      <c r="H147" s="1067"/>
      <c r="I147" s="1113"/>
      <c r="J147" s="1113"/>
      <c r="K147" s="1113"/>
      <c r="L147" s="1113"/>
      <c r="M147" s="1109"/>
    </row>
    <row r="148" spans="1:13" s="1035" customFormat="1" ht="22.5" customHeight="1">
      <c r="A148" s="1058"/>
      <c r="B148" s="1063"/>
      <c r="C148" s="1072" t="s">
        <v>5496</v>
      </c>
      <c r="D148" s="1059"/>
      <c r="E148" s="1056">
        <v>0</v>
      </c>
      <c r="F148" s="1056"/>
      <c r="G148" s="1056">
        <v>0</v>
      </c>
      <c r="H148" s="1056"/>
      <c r="I148" s="1060"/>
      <c r="J148" s="1060"/>
      <c r="K148" s="1060"/>
      <c r="L148" s="1060"/>
      <c r="M148" s="1109"/>
    </row>
    <row r="149" spans="1:13" s="1035" customFormat="1" ht="22.5" customHeight="1">
      <c r="A149" s="1058"/>
      <c r="B149" s="1063"/>
      <c r="C149" s="1072" t="s">
        <v>5497</v>
      </c>
      <c r="D149" s="1059"/>
      <c r="E149" s="1056">
        <f>+G17-7224054</f>
        <v>254802405</v>
      </c>
      <c r="F149" s="1056"/>
      <c r="G149" s="1056">
        <v>0</v>
      </c>
      <c r="H149" s="1056"/>
      <c r="I149" s="1060"/>
      <c r="J149" s="1060"/>
      <c r="K149" s="1060"/>
      <c r="L149" s="1060"/>
      <c r="M149" s="1109"/>
    </row>
    <row r="150" spans="1:13" s="1035" customFormat="1" ht="22.5" customHeight="1">
      <c r="A150" s="1053"/>
      <c r="B150" s="1114"/>
      <c r="C150" s="1072" t="s">
        <v>5498</v>
      </c>
      <c r="D150" s="1059"/>
      <c r="E150" s="1056">
        <v>0</v>
      </c>
      <c r="F150" s="1115"/>
      <c r="G150" s="1056">
        <v>0</v>
      </c>
      <c r="H150" s="1115"/>
      <c r="I150" s="1116"/>
      <c r="J150" s="1116"/>
      <c r="K150" s="1116"/>
      <c r="L150" s="1116"/>
      <c r="M150" s="1109"/>
    </row>
    <row r="151" spans="1:13" s="1035" customFormat="1" ht="22.5" customHeight="1">
      <c r="A151" s="1054" t="s">
        <v>5499</v>
      </c>
      <c r="B151" s="1054"/>
      <c r="D151" s="1065"/>
      <c r="E151" s="1068"/>
      <c r="F151" s="1068"/>
      <c r="G151" s="1068"/>
      <c r="H151" s="1068"/>
      <c r="I151" s="1116"/>
      <c r="J151" s="1116"/>
      <c r="K151" s="1116"/>
      <c r="L151" s="1116"/>
      <c r="M151" s="1109"/>
    </row>
    <row r="152" spans="1:13" s="1035" customFormat="1" ht="12" customHeight="1">
      <c r="A152" s="1070"/>
      <c r="B152" s="1117"/>
      <c r="C152" s="1078"/>
      <c r="D152" s="1070"/>
      <c r="E152" s="1071"/>
      <c r="F152" s="1071"/>
      <c r="G152" s="1071"/>
      <c r="H152" s="1071"/>
      <c r="I152" s="1116"/>
      <c r="J152" s="1116"/>
      <c r="K152" s="1116"/>
      <c r="L152" s="1116"/>
      <c r="M152" s="1109"/>
    </row>
    <row r="153" spans="1:13" s="1035" customFormat="1" ht="4.5" customHeight="1">
      <c r="A153" s="1038"/>
      <c r="B153" s="1039"/>
      <c r="C153" s="1040"/>
      <c r="D153" s="1041"/>
      <c r="E153" s="1042"/>
      <c r="F153" s="1043"/>
      <c r="G153" s="1042"/>
      <c r="H153" s="1043"/>
      <c r="I153" s="1060"/>
      <c r="J153" s="1060"/>
      <c r="K153" s="1060"/>
      <c r="L153" s="1060"/>
    </row>
    <row r="154" spans="1:13" s="1035" customFormat="1" ht="25.5" customHeight="1">
      <c r="A154" s="1044"/>
      <c r="B154" s="156"/>
      <c r="C154" s="1045" t="s">
        <v>77</v>
      </c>
      <c r="D154" s="1046"/>
      <c r="E154" s="204" t="s">
        <v>5560</v>
      </c>
      <c r="F154" s="1047"/>
      <c r="G154" s="204" t="s">
        <v>5420</v>
      </c>
      <c r="H154" s="1047"/>
      <c r="I154" s="1060"/>
      <c r="J154" s="1060"/>
      <c r="K154" s="1060"/>
      <c r="L154" s="1060"/>
    </row>
    <row r="155" spans="1:13" s="1035" customFormat="1" ht="4.5" customHeight="1">
      <c r="A155" s="1048"/>
      <c r="B155" s="1049"/>
      <c r="C155" s="1049"/>
      <c r="D155" s="1050"/>
      <c r="E155" s="1051"/>
      <c r="F155" s="1052"/>
      <c r="G155" s="1051"/>
      <c r="H155" s="1052"/>
      <c r="I155" s="1060"/>
      <c r="J155" s="1060"/>
      <c r="K155" s="1060"/>
      <c r="L155" s="1060"/>
    </row>
    <row r="156" spans="1:13" s="1035" customFormat="1" ht="22.5" customHeight="1">
      <c r="A156" s="1053"/>
      <c r="B156" s="1114"/>
      <c r="C156" s="1072" t="s">
        <v>5500</v>
      </c>
      <c r="D156" s="1059"/>
      <c r="E156" s="1056">
        <v>0</v>
      </c>
      <c r="F156" s="1115"/>
      <c r="G156" s="1056">
        <v>10000000</v>
      </c>
      <c r="H156" s="1115"/>
      <c r="I156" s="1060"/>
      <c r="J156" s="1060"/>
      <c r="K156" s="1060"/>
      <c r="L156" s="1060"/>
    </row>
    <row r="157" spans="1:13" s="1035" customFormat="1" ht="22.5" customHeight="1">
      <c r="A157" s="1053"/>
      <c r="B157" s="1114"/>
      <c r="C157" s="1072" t="s">
        <v>5501</v>
      </c>
      <c r="D157" s="1059"/>
      <c r="E157" s="1056">
        <f>+E47-G47</f>
        <v>111752130</v>
      </c>
      <c r="F157" s="1115"/>
      <c r="G157" s="1056">
        <v>0</v>
      </c>
      <c r="H157" s="1115"/>
      <c r="I157" s="1060"/>
      <c r="J157" s="1060"/>
      <c r="K157" s="1060"/>
      <c r="L157" s="1060"/>
    </row>
    <row r="158" spans="1:13" s="1035" customFormat="1" ht="22.5" customHeight="1">
      <c r="A158" s="1058"/>
      <c r="B158" s="1063" t="s">
        <v>34</v>
      </c>
      <c r="C158" s="1072" t="s">
        <v>5502</v>
      </c>
      <c r="D158" s="1059"/>
      <c r="E158" s="1066">
        <f>-SUM(E159:E164)</f>
        <v>-139487896</v>
      </c>
      <c r="F158" s="1067"/>
      <c r="G158" s="1066">
        <v>-687624071</v>
      </c>
      <c r="H158" s="1067"/>
      <c r="I158" s="1113"/>
      <c r="J158" s="1113"/>
      <c r="K158" s="1113"/>
      <c r="L158" s="1113"/>
      <c r="M158" s="1109"/>
    </row>
    <row r="159" spans="1:13" s="1035" customFormat="1" ht="22.5" customHeight="1">
      <c r="A159" s="1053"/>
      <c r="B159" s="1063"/>
      <c r="C159" s="1072" t="s">
        <v>5503</v>
      </c>
      <c r="D159" s="1059"/>
      <c r="E159" s="1067">
        <f>+E16-G16</f>
        <v>124348948</v>
      </c>
      <c r="F159" s="1115"/>
      <c r="G159" s="1067">
        <v>422567778</v>
      </c>
      <c r="H159" s="1115"/>
      <c r="I159" s="1116"/>
      <c r="J159" s="1116"/>
      <c r="K159" s="1116"/>
      <c r="L159" s="1116"/>
      <c r="M159" s="1109"/>
    </row>
    <row r="160" spans="1:13" s="1035" customFormat="1" ht="22.5" customHeight="1">
      <c r="A160" s="1053"/>
      <c r="B160" s="1063"/>
      <c r="C160" s="1072" t="s">
        <v>5504</v>
      </c>
      <c r="D160" s="1059"/>
      <c r="E160" s="1067"/>
      <c r="F160" s="1115"/>
      <c r="G160" s="1067">
        <v>14171476</v>
      </c>
      <c r="H160" s="1115"/>
      <c r="I160" s="1116"/>
      <c r="J160" s="1116"/>
      <c r="K160" s="1116"/>
      <c r="L160" s="1116"/>
      <c r="M160" s="1109"/>
    </row>
    <row r="161" spans="1:13" s="1035" customFormat="1" ht="22.5" customHeight="1">
      <c r="A161" s="1053"/>
      <c r="B161" s="1074"/>
      <c r="C161" s="1072" t="s">
        <v>5505</v>
      </c>
      <c r="D161" s="1059"/>
      <c r="E161" s="1067">
        <f>+E24-G24</f>
        <v>6096348</v>
      </c>
      <c r="F161" s="1115"/>
      <c r="G161" s="1067">
        <v>6096344</v>
      </c>
      <c r="H161" s="1115"/>
      <c r="I161" s="1116"/>
      <c r="J161" s="1116"/>
      <c r="K161" s="1116"/>
      <c r="L161" s="1116"/>
    </row>
    <row r="162" spans="1:13" s="1035" customFormat="1" ht="22.5" customHeight="1">
      <c r="A162" s="1053"/>
      <c r="B162" s="1074"/>
      <c r="C162" s="1072" t="s">
        <v>5506</v>
      </c>
      <c r="D162" s="1059"/>
      <c r="E162" s="1067">
        <f>+E27-G27</f>
        <v>7958000</v>
      </c>
      <c r="F162" s="1115"/>
      <c r="G162" s="1067">
        <v>49621000</v>
      </c>
      <c r="H162" s="1115"/>
      <c r="I162" s="1116"/>
      <c r="J162" s="1116"/>
      <c r="K162" s="1116"/>
      <c r="L162" s="1116"/>
    </row>
    <row r="163" spans="1:13" s="1035" customFormat="1" ht="22.5" customHeight="1">
      <c r="A163" s="1053"/>
      <c r="B163" s="1118"/>
      <c r="C163" s="1072" t="s">
        <v>5507</v>
      </c>
      <c r="D163" s="1059"/>
      <c r="E163" s="1067">
        <f>+E29-G29</f>
        <v>1084600</v>
      </c>
      <c r="F163" s="1115"/>
      <c r="G163" s="1067">
        <v>31175600</v>
      </c>
      <c r="H163" s="1115"/>
      <c r="I163" s="1116"/>
      <c r="J163" s="1116"/>
      <c r="K163" s="1116"/>
      <c r="L163" s="1116"/>
    </row>
    <row r="164" spans="1:13" s="1035" customFormat="1" ht="22.5" customHeight="1">
      <c r="A164" s="1053"/>
      <c r="B164" s="1118"/>
      <c r="C164" s="1072" t="s">
        <v>5508</v>
      </c>
      <c r="D164" s="1059"/>
      <c r="E164" s="1067"/>
      <c r="F164" s="1115"/>
      <c r="G164" s="1067">
        <v>163991873</v>
      </c>
      <c r="H164" s="1115"/>
      <c r="I164" s="1116"/>
      <c r="J164" s="1116"/>
      <c r="K164" s="1116"/>
      <c r="L164" s="1116"/>
    </row>
    <row r="165" spans="1:13" s="1035" customFormat="1" ht="22.5" customHeight="1">
      <c r="A165" s="1058" t="s">
        <v>47</v>
      </c>
      <c r="B165" s="1054" t="s">
        <v>5509</v>
      </c>
      <c r="C165" s="1064"/>
      <c r="D165" s="1065"/>
      <c r="E165" s="1067"/>
      <c r="F165" s="1066">
        <f>+E166</f>
        <v>129754067</v>
      </c>
      <c r="G165" s="1067"/>
      <c r="H165" s="1066">
        <v>4926000</v>
      </c>
      <c r="I165" s="1060"/>
      <c r="J165" s="1060"/>
      <c r="K165" s="1060"/>
      <c r="L165" s="1060"/>
      <c r="M165" s="1109"/>
    </row>
    <row r="166" spans="1:13" s="1035" customFormat="1" ht="22.5" customHeight="1">
      <c r="A166" s="1058"/>
      <c r="B166" s="1063" t="s">
        <v>25</v>
      </c>
      <c r="C166" s="1072" t="s">
        <v>5510</v>
      </c>
      <c r="D166" s="1065"/>
      <c r="E166" s="1066">
        <f>+E167</f>
        <v>129754067</v>
      </c>
      <c r="F166" s="1067"/>
      <c r="G166" s="1066">
        <v>4926000</v>
      </c>
      <c r="H166" s="1067"/>
      <c r="I166" s="1113"/>
      <c r="J166" s="1113"/>
      <c r="K166" s="1113"/>
      <c r="L166" s="1113"/>
      <c r="M166" s="1109"/>
    </row>
    <row r="167" spans="1:13" s="1035" customFormat="1" ht="22.5" customHeight="1">
      <c r="A167" s="1058"/>
      <c r="B167" s="1063"/>
      <c r="C167" s="1064" t="s">
        <v>5511</v>
      </c>
      <c r="D167" s="1059"/>
      <c r="E167" s="1056">
        <f>+E53-G53</f>
        <v>129754067</v>
      </c>
      <c r="F167" s="1067"/>
      <c r="G167" s="1056">
        <v>4926000</v>
      </c>
      <c r="H167" s="1067"/>
      <c r="I167" s="1060"/>
      <c r="J167" s="1060"/>
      <c r="K167" s="1060"/>
      <c r="L167" s="1060"/>
      <c r="M167" s="1109"/>
    </row>
    <row r="168" spans="1:13" s="1035" customFormat="1" ht="22.5" customHeight="1">
      <c r="A168" s="1058"/>
      <c r="B168" s="1063" t="s">
        <v>34</v>
      </c>
      <c r="C168" s="1072" t="s">
        <v>5512</v>
      </c>
      <c r="D168" s="1059"/>
      <c r="E168" s="1056">
        <v>0</v>
      </c>
      <c r="F168" s="1067"/>
      <c r="G168" s="1056">
        <v>0</v>
      </c>
      <c r="H168" s="1067"/>
      <c r="I168" s="1060"/>
      <c r="J168" s="1060"/>
      <c r="K168" s="1060"/>
      <c r="L168" s="1060"/>
      <c r="M168" s="1109"/>
    </row>
    <row r="169" spans="1:13" s="1035" customFormat="1" ht="22.5" customHeight="1">
      <c r="A169" s="1058" t="s">
        <v>48</v>
      </c>
      <c r="B169" s="1054" t="s">
        <v>5513</v>
      </c>
      <c r="D169" s="1059"/>
      <c r="E169" s="1119"/>
      <c r="F169" s="1056">
        <f>+F125+F146+F165</f>
        <v>-129134769</v>
      </c>
      <c r="G169" s="1119"/>
      <c r="H169" s="1056">
        <v>-761608359.66796839</v>
      </c>
      <c r="I169" s="1060"/>
      <c r="J169" s="1060"/>
      <c r="K169" s="1060"/>
      <c r="L169" s="1060"/>
      <c r="M169" s="1109"/>
    </row>
    <row r="170" spans="1:13" s="1035" customFormat="1" ht="22.5" customHeight="1">
      <c r="A170" s="1058" t="s">
        <v>63</v>
      </c>
      <c r="B170" s="1054" t="s">
        <v>5514</v>
      </c>
      <c r="D170" s="1059"/>
      <c r="E170" s="1089"/>
      <c r="F170" s="1067">
        <f>+H171</f>
        <v>1279680454.3320317</v>
      </c>
      <c r="G170" s="1089"/>
      <c r="H170" s="1067">
        <v>2041288814</v>
      </c>
      <c r="I170" s="1113"/>
      <c r="J170" s="1113"/>
      <c r="K170" s="1113"/>
      <c r="L170" s="1113"/>
      <c r="M170" s="1109"/>
    </row>
    <row r="171" spans="1:13" s="1035" customFormat="1" ht="22.5" customHeight="1" thickBot="1">
      <c r="A171" s="1058" t="s">
        <v>64</v>
      </c>
      <c r="B171" s="1054" t="s">
        <v>5515</v>
      </c>
      <c r="D171" s="1059"/>
      <c r="E171" s="1119"/>
      <c r="F171" s="1090">
        <f>+E15</f>
        <v>1150545685</v>
      </c>
      <c r="G171" s="1119"/>
      <c r="H171" s="1090">
        <v>1279680454.3320317</v>
      </c>
      <c r="I171" s="1060"/>
      <c r="J171" s="1060"/>
      <c r="K171" s="1060"/>
      <c r="L171" s="1060"/>
      <c r="M171" s="1109"/>
    </row>
    <row r="172" spans="1:13" s="1035" customFormat="1" ht="22.5" customHeight="1" thickTop="1">
      <c r="A172" s="1076"/>
      <c r="B172" s="1070"/>
      <c r="C172" s="1078"/>
      <c r="D172" s="1050"/>
      <c r="E172" s="1120"/>
      <c r="F172" s="1120"/>
      <c r="G172" s="1120"/>
      <c r="H172" s="1120"/>
      <c r="I172" s="1079"/>
      <c r="J172" s="1079"/>
      <c r="K172" s="1079"/>
      <c r="L172" s="1079"/>
      <c r="M172" s="1109"/>
    </row>
    <row r="173" spans="1:13" s="1035" customFormat="1" ht="16.5" customHeight="1">
      <c r="A173" s="1065"/>
      <c r="B173" s="1065"/>
      <c r="D173" s="1065"/>
      <c r="E173" s="1099"/>
      <c r="F173" s="1099"/>
      <c r="G173" s="1099"/>
      <c r="H173" s="1099"/>
      <c r="I173" s="1099"/>
      <c r="J173" s="1099"/>
      <c r="K173" s="1099"/>
      <c r="L173" s="1099"/>
      <c r="M173" s="1109"/>
    </row>
    <row r="174" spans="1:13" s="1035" customFormat="1" ht="22.5" customHeight="1">
      <c r="A174" s="1032"/>
      <c r="B174" s="1029" t="s">
        <v>5472</v>
      </c>
      <c r="C174" s="1029"/>
      <c r="D174" s="1029"/>
      <c r="E174" s="1030"/>
      <c r="F174" s="1030"/>
      <c r="G174" s="1030"/>
      <c r="H174" s="1030"/>
      <c r="I174" s="1030"/>
      <c r="J174" s="1030"/>
      <c r="K174" s="1030"/>
      <c r="L174" s="1030"/>
      <c r="M174" s="1109"/>
    </row>
    <row r="175" spans="1:13" s="1026" customFormat="1" ht="31.5" hidden="1" customHeight="1">
      <c r="A175" s="1121" t="s">
        <v>5516</v>
      </c>
      <c r="B175" s="1023"/>
      <c r="C175" s="1024"/>
      <c r="D175" s="1023"/>
      <c r="E175" s="1025"/>
      <c r="F175" s="1025"/>
      <c r="G175" s="1025"/>
      <c r="H175" s="1025"/>
      <c r="I175" s="1025"/>
      <c r="J175" s="1025"/>
      <c r="K175" s="1025"/>
      <c r="L175" s="1025"/>
    </row>
    <row r="176" spans="1:13" s="1026" customFormat="1" ht="12" hidden="1" customHeight="1">
      <c r="A176" s="1027"/>
      <c r="B176" s="1023"/>
      <c r="C176" s="1024"/>
      <c r="D176" s="1023"/>
      <c r="E176" s="1025"/>
      <c r="F176" s="1025"/>
      <c r="G176" s="1025"/>
      <c r="H176" s="1025"/>
      <c r="I176" s="1025"/>
      <c r="J176" s="1025"/>
      <c r="K176" s="1025"/>
      <c r="L176" s="1025"/>
    </row>
    <row r="177" spans="1:12" s="1031" customFormat="1" ht="12" hidden="1" customHeight="1">
      <c r="A177" s="1029" t="s">
        <v>5517</v>
      </c>
      <c r="B177" s="1029"/>
      <c r="C177" s="1029"/>
      <c r="D177" s="1029"/>
      <c r="E177" s="1030"/>
      <c r="F177" s="1030"/>
      <c r="G177" s="1030"/>
      <c r="H177" s="1030"/>
      <c r="I177" s="1030"/>
      <c r="J177" s="1030"/>
      <c r="K177" s="1030"/>
      <c r="L177" s="1030"/>
    </row>
    <row r="178" spans="1:12" s="1031" customFormat="1" ht="15.75" hidden="1" customHeight="1">
      <c r="A178" s="1029" t="s">
        <v>5518</v>
      </c>
      <c r="B178" s="1029"/>
      <c r="C178" s="1029"/>
      <c r="D178" s="1029"/>
      <c r="E178" s="1030"/>
      <c r="F178" s="1030"/>
      <c r="G178" s="1030"/>
      <c r="H178" s="1030"/>
      <c r="I178" s="1030"/>
      <c r="J178" s="1030"/>
      <c r="K178" s="1030"/>
      <c r="L178" s="1030"/>
    </row>
    <row r="179" spans="1:12" s="1031" customFormat="1" ht="12" hidden="1" customHeight="1">
      <c r="A179" s="1029"/>
      <c r="B179" s="1029"/>
      <c r="C179" s="1029"/>
      <c r="D179" s="1029"/>
      <c r="E179" s="1030"/>
      <c r="F179" s="1030"/>
      <c r="G179" s="1030"/>
      <c r="H179" s="1030"/>
      <c r="I179" s="1030"/>
      <c r="J179" s="1030"/>
      <c r="K179" s="1030"/>
      <c r="L179" s="1030"/>
    </row>
    <row r="180" spans="1:12" s="1031" customFormat="1" ht="12" hidden="1" customHeight="1">
      <c r="A180" s="1029"/>
      <c r="B180" s="1029"/>
      <c r="C180" s="1029"/>
      <c r="D180" s="1029"/>
      <c r="E180" s="1030"/>
      <c r="F180" s="1030"/>
      <c r="G180" s="1030"/>
      <c r="H180" s="1030"/>
      <c r="I180" s="1030"/>
      <c r="J180" s="1030"/>
      <c r="K180" s="1030"/>
      <c r="L180" s="1030"/>
    </row>
    <row r="181" spans="1:12" s="1035" customFormat="1" ht="12" hidden="1" customHeight="1">
      <c r="A181" s="1032"/>
      <c r="B181" s="1032"/>
      <c r="C181" s="1033"/>
      <c r="D181" s="1032"/>
      <c r="E181" s="1034"/>
      <c r="F181" s="1034"/>
      <c r="G181" s="1034"/>
      <c r="H181" s="1034"/>
      <c r="I181" s="1034"/>
      <c r="J181" s="1034"/>
      <c r="K181" s="1034"/>
      <c r="L181" s="1034"/>
    </row>
    <row r="182" spans="1:12" s="1035" customFormat="1" ht="12" hidden="1" customHeight="1">
      <c r="A182" s="1037" t="s">
        <v>5519</v>
      </c>
      <c r="B182" s="1032"/>
      <c r="C182" s="1033"/>
      <c r="D182" s="1032"/>
      <c r="E182" s="1034"/>
      <c r="F182" s="1034"/>
      <c r="G182" s="1034"/>
      <c r="H182" s="1034" t="s">
        <v>5447</v>
      </c>
      <c r="I182" s="1034"/>
      <c r="J182" s="1034"/>
      <c r="K182" s="1034"/>
      <c r="L182" s="1034"/>
    </row>
    <row r="183" spans="1:12" s="1035" customFormat="1" ht="12" hidden="1" customHeight="1">
      <c r="A183" s="1037"/>
      <c r="B183" s="1032"/>
      <c r="C183" s="1033"/>
      <c r="D183" s="1032"/>
      <c r="E183" s="1034"/>
      <c r="F183" s="1034"/>
      <c r="G183" s="1034"/>
      <c r="H183" s="1034"/>
      <c r="I183" s="1034"/>
      <c r="J183" s="1034"/>
      <c r="K183" s="1034"/>
      <c r="L183" s="1034"/>
    </row>
    <row r="184" spans="1:12" s="1035" customFormat="1" ht="4.5" hidden="1" customHeight="1">
      <c r="A184" s="1038"/>
      <c r="B184" s="1039"/>
      <c r="C184" s="1040"/>
      <c r="D184" s="1041"/>
      <c r="E184" s="1042"/>
      <c r="F184" s="1043"/>
      <c r="G184" s="1042"/>
      <c r="H184" s="1043"/>
      <c r="I184" s="1042"/>
      <c r="J184" s="1042"/>
      <c r="K184" s="1042"/>
      <c r="L184" s="1042"/>
    </row>
    <row r="185" spans="1:12" s="1" customFormat="1" ht="25.5" hidden="1" customHeight="1">
      <c r="A185" s="1044"/>
      <c r="B185" s="156"/>
      <c r="C185" s="162" t="s">
        <v>5520</v>
      </c>
      <c r="D185" s="1046"/>
      <c r="E185" s="204" t="s">
        <v>5521</v>
      </c>
      <c r="F185" s="1047"/>
      <c r="G185" s="204" t="s">
        <v>5522</v>
      </c>
      <c r="H185" s="1047"/>
      <c r="I185" s="204"/>
      <c r="J185" s="204"/>
      <c r="K185" s="204"/>
      <c r="L185" s="204"/>
    </row>
    <row r="186" spans="1:12" s="1035" customFormat="1" ht="4.5" hidden="1" customHeight="1">
      <c r="A186" s="1048"/>
      <c r="B186" s="1049"/>
      <c r="C186" s="1049"/>
      <c r="D186" s="1050"/>
      <c r="E186" s="1051"/>
      <c r="F186" s="1052"/>
      <c r="G186" s="1051"/>
      <c r="H186" s="1052"/>
      <c r="I186" s="1051"/>
      <c r="J186" s="1051"/>
      <c r="K186" s="1051"/>
      <c r="L186" s="1051"/>
    </row>
    <row r="187" spans="1:12" s="1035" customFormat="1" ht="22.5" hidden="1" customHeight="1">
      <c r="A187" s="1058" t="s">
        <v>22</v>
      </c>
      <c r="B187" s="1031" t="s">
        <v>5523</v>
      </c>
      <c r="C187" s="1031"/>
      <c r="D187" s="1055"/>
      <c r="E187" s="1057"/>
      <c r="F187" s="1057">
        <v>0</v>
      </c>
      <c r="G187" s="1057"/>
      <c r="H187" s="1057">
        <v>0</v>
      </c>
      <c r="I187" s="1057"/>
      <c r="J187" s="1057"/>
      <c r="K187" s="1057"/>
      <c r="L187" s="1057"/>
    </row>
    <row r="188" spans="1:12" s="1035" customFormat="1" ht="22.5" hidden="1" customHeight="1">
      <c r="A188" s="1058"/>
      <c r="B188" s="1063" t="s">
        <v>25</v>
      </c>
      <c r="C188" s="1035" t="s">
        <v>5524</v>
      </c>
      <c r="D188" s="1055"/>
      <c r="E188" s="1057"/>
      <c r="F188" s="1057"/>
      <c r="G188" s="1057"/>
      <c r="H188" s="1057"/>
      <c r="I188" s="1057"/>
      <c r="J188" s="1057"/>
      <c r="K188" s="1057"/>
      <c r="L188" s="1057"/>
    </row>
    <row r="189" spans="1:12" s="1035" customFormat="1" ht="22.5" hidden="1" customHeight="1">
      <c r="A189" s="1058"/>
      <c r="B189" s="1063" t="s">
        <v>34</v>
      </c>
      <c r="C189" s="1035" t="s">
        <v>5525</v>
      </c>
      <c r="D189" s="1055"/>
      <c r="E189" s="1057"/>
      <c r="F189" s="1057"/>
      <c r="G189" s="1057"/>
      <c r="H189" s="1057"/>
      <c r="I189" s="1057"/>
      <c r="J189" s="1057"/>
      <c r="K189" s="1057"/>
      <c r="L189" s="1057"/>
    </row>
    <row r="190" spans="1:12" s="1035" customFormat="1" ht="22.5" hidden="1" customHeight="1">
      <c r="A190" s="1058"/>
      <c r="B190" s="1063" t="s">
        <v>35</v>
      </c>
      <c r="C190" s="1035" t="s">
        <v>5526</v>
      </c>
      <c r="D190" s="1055"/>
      <c r="E190" s="1057"/>
      <c r="F190" s="1057"/>
      <c r="G190" s="1057"/>
      <c r="H190" s="1057"/>
      <c r="I190" s="1057"/>
      <c r="J190" s="1057"/>
      <c r="K190" s="1057"/>
      <c r="L190" s="1057"/>
    </row>
    <row r="191" spans="1:12" s="1035" customFormat="1" ht="22.5" hidden="1" customHeight="1">
      <c r="A191" s="1058" t="s">
        <v>37</v>
      </c>
      <c r="B191" s="1031" t="s">
        <v>5527</v>
      </c>
      <c r="D191" s="1059"/>
      <c r="E191" s="1057"/>
      <c r="F191" s="1087">
        <v>0</v>
      </c>
      <c r="G191" s="1057"/>
      <c r="H191" s="1087">
        <v>0</v>
      </c>
      <c r="I191" s="1087"/>
      <c r="J191" s="1087"/>
      <c r="K191" s="1087"/>
      <c r="L191" s="1087"/>
    </row>
    <row r="192" spans="1:12" s="1035" customFormat="1" ht="22.5" hidden="1" customHeight="1">
      <c r="A192" s="1058"/>
      <c r="B192" s="1063" t="s">
        <v>25</v>
      </c>
      <c r="C192" s="1035" t="s">
        <v>5528</v>
      </c>
      <c r="D192" s="1059"/>
      <c r="E192" s="1095"/>
      <c r="F192" s="1087"/>
      <c r="G192" s="1057"/>
      <c r="H192" s="1087"/>
      <c r="I192" s="1087"/>
      <c r="J192" s="1087"/>
      <c r="K192" s="1087"/>
      <c r="L192" s="1087"/>
    </row>
    <row r="193" spans="1:12" s="1035" customFormat="1" ht="22.5" hidden="1" customHeight="1">
      <c r="A193" s="1058"/>
      <c r="B193" s="1063" t="s">
        <v>34</v>
      </c>
      <c r="C193" s="1035" t="s">
        <v>5529</v>
      </c>
      <c r="D193" s="1059"/>
      <c r="E193" s="1095"/>
      <c r="F193" s="1087"/>
      <c r="G193" s="1095"/>
      <c r="H193" s="1087"/>
      <c r="I193" s="1087"/>
      <c r="J193" s="1087"/>
      <c r="K193" s="1087"/>
      <c r="L193" s="1087"/>
    </row>
    <row r="194" spans="1:12" s="1035" customFormat="1" ht="22.5" hidden="1" customHeight="1">
      <c r="A194" s="1058"/>
      <c r="B194" s="1063" t="s">
        <v>35</v>
      </c>
      <c r="C194" s="1035" t="s">
        <v>5530</v>
      </c>
      <c r="D194" s="1059"/>
      <c r="E194" s="1122"/>
      <c r="F194" s="1087"/>
      <c r="G194" s="1122"/>
      <c r="H194" s="1087"/>
      <c r="I194" s="1087"/>
      <c r="J194" s="1087"/>
      <c r="K194" s="1087"/>
      <c r="L194" s="1087"/>
    </row>
    <row r="195" spans="1:12" s="1035" customFormat="1" ht="22.5" hidden="1" customHeight="1">
      <c r="A195" s="1058"/>
      <c r="B195" s="1063" t="s">
        <v>36</v>
      </c>
      <c r="C195" s="1035" t="s">
        <v>5531</v>
      </c>
      <c r="D195" s="1059"/>
      <c r="E195" s="1122">
        <v>0</v>
      </c>
      <c r="F195" s="1087"/>
      <c r="G195" s="1122"/>
      <c r="H195" s="1087"/>
      <c r="I195" s="1087"/>
      <c r="J195" s="1087"/>
      <c r="K195" s="1087"/>
      <c r="L195" s="1087"/>
    </row>
    <row r="196" spans="1:12" s="1035" customFormat="1" ht="22.5" hidden="1" customHeight="1">
      <c r="A196" s="1058" t="s">
        <v>47</v>
      </c>
      <c r="B196" s="1062" t="s">
        <v>5532</v>
      </c>
      <c r="D196" s="1059"/>
      <c r="E196" s="1122"/>
      <c r="F196" s="1087">
        <v>0</v>
      </c>
      <c r="G196" s="1122"/>
      <c r="H196" s="1087">
        <v>0</v>
      </c>
      <c r="I196" s="1087"/>
      <c r="J196" s="1087"/>
      <c r="K196" s="1087"/>
      <c r="L196" s="1087"/>
    </row>
    <row r="197" spans="1:12" s="1035" customFormat="1" ht="22.5" hidden="1" customHeight="1">
      <c r="A197" s="1058"/>
      <c r="B197" s="1063" t="s">
        <v>25</v>
      </c>
      <c r="C197" s="1035" t="s">
        <v>5533</v>
      </c>
      <c r="D197" s="1059"/>
      <c r="E197" s="1122"/>
      <c r="F197" s="1087"/>
      <c r="G197" s="1122"/>
      <c r="H197" s="1087"/>
      <c r="I197" s="1087"/>
      <c r="J197" s="1087"/>
      <c r="K197" s="1087"/>
      <c r="L197" s="1087"/>
    </row>
    <row r="198" spans="1:12" s="1035" customFormat="1" ht="22.5" hidden="1" customHeight="1">
      <c r="A198" s="1058"/>
      <c r="B198" s="1063" t="s">
        <v>34</v>
      </c>
      <c r="C198" s="1035" t="s">
        <v>5534</v>
      </c>
      <c r="D198" s="1059"/>
      <c r="E198" s="1122"/>
      <c r="F198" s="1087"/>
      <c r="G198" s="1122"/>
      <c r="H198" s="1087"/>
      <c r="I198" s="1087"/>
      <c r="J198" s="1087"/>
      <c r="K198" s="1087"/>
      <c r="L198" s="1087"/>
    </row>
    <row r="199" spans="1:12" s="1035" customFormat="1" ht="22.5" hidden="1" customHeight="1">
      <c r="A199" s="1058"/>
      <c r="B199" s="1063" t="s">
        <v>35</v>
      </c>
      <c r="C199" s="1035" t="s">
        <v>5535</v>
      </c>
      <c r="D199" s="1059"/>
      <c r="E199" s="1122"/>
      <c r="F199" s="1087"/>
      <c r="G199" s="1122"/>
      <c r="H199" s="1087"/>
      <c r="I199" s="1087"/>
      <c r="J199" s="1087"/>
      <c r="K199" s="1087"/>
      <c r="L199" s="1087"/>
    </row>
    <row r="200" spans="1:12" s="1035" customFormat="1" ht="22.5" hidden="1" customHeight="1">
      <c r="A200" s="1058"/>
      <c r="B200" s="1063" t="s">
        <v>36</v>
      </c>
      <c r="C200" s="1035" t="s">
        <v>5536</v>
      </c>
      <c r="D200" s="1059"/>
      <c r="E200" s="1122"/>
      <c r="F200" s="1087"/>
      <c r="G200" s="1122"/>
      <c r="H200" s="1087"/>
      <c r="I200" s="1087"/>
      <c r="J200" s="1087"/>
      <c r="K200" s="1087"/>
      <c r="L200" s="1087"/>
    </row>
    <row r="201" spans="1:12" s="1035" customFormat="1" ht="22.5" hidden="1" customHeight="1">
      <c r="A201" s="1058"/>
      <c r="B201" s="1063" t="s">
        <v>39</v>
      </c>
      <c r="C201" s="1035" t="s">
        <v>5537</v>
      </c>
      <c r="D201" s="1059"/>
      <c r="E201" s="1122"/>
      <c r="F201" s="1087"/>
      <c r="G201" s="1122"/>
      <c r="H201" s="1087"/>
      <c r="I201" s="1087"/>
      <c r="J201" s="1087"/>
      <c r="K201" s="1087"/>
      <c r="L201" s="1087"/>
    </row>
    <row r="202" spans="1:12" s="1035" customFormat="1" ht="22.5" hidden="1" customHeight="1">
      <c r="A202" s="1058"/>
      <c r="B202" s="1063" t="s">
        <v>43</v>
      </c>
      <c r="C202" s="1035" t="s">
        <v>5538</v>
      </c>
      <c r="D202" s="1059"/>
      <c r="E202" s="1122"/>
      <c r="F202" s="1087"/>
      <c r="G202" s="1122"/>
      <c r="H202" s="1087"/>
      <c r="I202" s="1087"/>
      <c r="J202" s="1087"/>
      <c r="K202" s="1087"/>
      <c r="L202" s="1087"/>
    </row>
    <row r="203" spans="1:12" s="1035" customFormat="1" ht="22.5" hidden="1" customHeight="1">
      <c r="A203" s="1058"/>
      <c r="B203" s="1063" t="s">
        <v>44</v>
      </c>
      <c r="C203" s="1035" t="s">
        <v>5539</v>
      </c>
      <c r="D203" s="1059"/>
      <c r="E203" s="1122"/>
      <c r="F203" s="1087"/>
      <c r="G203" s="1122"/>
      <c r="H203" s="1087"/>
      <c r="I203" s="1087"/>
      <c r="J203" s="1087"/>
      <c r="K203" s="1087"/>
      <c r="L203" s="1087"/>
    </row>
    <row r="204" spans="1:12" s="1035" customFormat="1" ht="22.5" hidden="1" customHeight="1">
      <c r="A204" s="1058"/>
      <c r="B204" s="1063" t="s">
        <v>45</v>
      </c>
      <c r="C204" s="1035" t="s">
        <v>5540</v>
      </c>
      <c r="D204" s="1059"/>
      <c r="E204" s="1122"/>
      <c r="F204" s="1087"/>
      <c r="G204" s="1122"/>
      <c r="H204" s="1087"/>
      <c r="I204" s="1087"/>
      <c r="J204" s="1087"/>
      <c r="K204" s="1087"/>
      <c r="L204" s="1087"/>
    </row>
    <row r="205" spans="1:12" s="1035" customFormat="1" ht="22.5" hidden="1" customHeight="1">
      <c r="A205" s="1058"/>
      <c r="B205" s="1063" t="s">
        <v>46</v>
      </c>
      <c r="C205" s="1035" t="s">
        <v>5541</v>
      </c>
      <c r="D205" s="1059"/>
      <c r="E205" s="1122"/>
      <c r="F205" s="1087"/>
      <c r="G205" s="1122"/>
      <c r="H205" s="1087"/>
      <c r="I205" s="1087"/>
      <c r="J205" s="1087"/>
      <c r="K205" s="1087"/>
      <c r="L205" s="1087"/>
    </row>
    <row r="206" spans="1:12" s="1035" customFormat="1" ht="22.5" hidden="1" customHeight="1">
      <c r="A206" s="1058"/>
      <c r="B206" s="1063" t="s">
        <v>41</v>
      </c>
      <c r="C206" s="1035" t="s">
        <v>5542</v>
      </c>
      <c r="D206" s="1059"/>
      <c r="E206" s="1122"/>
      <c r="F206" s="1087"/>
      <c r="G206" s="1122"/>
      <c r="H206" s="1087"/>
      <c r="I206" s="1087"/>
      <c r="J206" s="1087"/>
      <c r="K206" s="1087"/>
      <c r="L206" s="1087"/>
    </row>
    <row r="207" spans="1:12" s="1035" customFormat="1" ht="22.5" hidden="1" customHeight="1">
      <c r="A207" s="1058"/>
      <c r="B207" s="1063" t="s">
        <v>53</v>
      </c>
      <c r="C207" s="1035" t="s">
        <v>5543</v>
      </c>
      <c r="D207" s="1059"/>
      <c r="E207" s="1122"/>
      <c r="F207" s="1087"/>
      <c r="G207" s="1122"/>
      <c r="H207" s="1087"/>
      <c r="I207" s="1087"/>
      <c r="J207" s="1087"/>
      <c r="K207" s="1087"/>
      <c r="L207" s="1087"/>
    </row>
    <row r="208" spans="1:12" s="1035" customFormat="1" ht="22.5" hidden="1" customHeight="1">
      <c r="A208" s="1058"/>
      <c r="B208" s="1063" t="s">
        <v>54</v>
      </c>
      <c r="C208" s="1035" t="s">
        <v>5544</v>
      </c>
      <c r="D208" s="1059"/>
      <c r="E208" s="1122"/>
      <c r="F208" s="1087"/>
      <c r="G208" s="1122"/>
      <c r="H208" s="1087"/>
      <c r="I208" s="1087"/>
      <c r="J208" s="1087"/>
      <c r="K208" s="1087"/>
      <c r="L208" s="1087"/>
    </row>
    <row r="209" spans="1:12" s="1035" customFormat="1" ht="22.5" hidden="1" customHeight="1">
      <c r="A209" s="1058"/>
      <c r="B209" s="1063" t="s">
        <v>55</v>
      </c>
      <c r="C209" s="1035" t="s">
        <v>5545</v>
      </c>
      <c r="D209" s="1059"/>
      <c r="E209" s="1122"/>
      <c r="F209" s="1087"/>
      <c r="G209" s="1122"/>
      <c r="H209" s="1087"/>
      <c r="I209" s="1087"/>
      <c r="J209" s="1087"/>
      <c r="K209" s="1087"/>
      <c r="L209" s="1087"/>
    </row>
    <row r="210" spans="1:12" s="1035" customFormat="1" ht="22.5" hidden="1" customHeight="1">
      <c r="A210" s="1058"/>
      <c r="B210" s="1063" t="s">
        <v>56</v>
      </c>
      <c r="C210" s="1035" t="s">
        <v>5546</v>
      </c>
      <c r="D210" s="1059"/>
      <c r="E210" s="1122"/>
      <c r="F210" s="1087"/>
      <c r="G210" s="1122"/>
      <c r="H210" s="1087"/>
      <c r="I210" s="1087"/>
      <c r="J210" s="1087"/>
      <c r="K210" s="1087"/>
      <c r="L210" s="1087"/>
    </row>
    <row r="211" spans="1:12" s="1035" customFormat="1" ht="22.5" hidden="1" customHeight="1">
      <c r="A211" s="1058"/>
      <c r="B211" s="1063" t="s">
        <v>57</v>
      </c>
      <c r="C211" s="1035" t="s">
        <v>5547</v>
      </c>
      <c r="D211" s="1059"/>
      <c r="E211" s="1122"/>
      <c r="F211" s="1087"/>
      <c r="G211" s="1122"/>
      <c r="H211" s="1087"/>
      <c r="I211" s="1087"/>
      <c r="J211" s="1087"/>
      <c r="K211" s="1087"/>
      <c r="L211" s="1087"/>
    </row>
    <row r="212" spans="1:12" s="1035" customFormat="1" ht="22.5" hidden="1" customHeight="1">
      <c r="A212" s="1058"/>
      <c r="B212" s="1063" t="s">
        <v>58</v>
      </c>
      <c r="C212" s="1035" t="s">
        <v>5548</v>
      </c>
      <c r="D212" s="1059"/>
      <c r="E212" s="1122"/>
      <c r="F212" s="1087"/>
      <c r="G212" s="1122"/>
      <c r="H212" s="1087"/>
      <c r="I212" s="1087"/>
      <c r="J212" s="1087"/>
      <c r="K212" s="1087"/>
      <c r="L212" s="1087"/>
    </row>
    <row r="213" spans="1:12" s="1035" customFormat="1" ht="22.5" hidden="1" customHeight="1">
      <c r="A213" s="1058"/>
      <c r="B213" s="1063" t="s">
        <v>59</v>
      </c>
      <c r="C213" s="1035" t="s">
        <v>5549</v>
      </c>
      <c r="D213" s="1059"/>
      <c r="E213" s="1122"/>
      <c r="F213" s="1087"/>
      <c r="G213" s="1122"/>
      <c r="H213" s="1087"/>
      <c r="I213" s="1087"/>
      <c r="J213" s="1087"/>
      <c r="K213" s="1087"/>
      <c r="L213" s="1087"/>
    </row>
    <row r="214" spans="1:12" s="1035" customFormat="1" ht="22.5" hidden="1" customHeight="1">
      <c r="A214" s="1058"/>
      <c r="B214" s="1063" t="s">
        <v>60</v>
      </c>
      <c r="C214" s="1035" t="s">
        <v>5550</v>
      </c>
      <c r="D214" s="1059"/>
      <c r="E214" s="1122"/>
      <c r="F214" s="1087"/>
      <c r="G214" s="1122"/>
      <c r="H214" s="1087"/>
      <c r="I214" s="1087"/>
      <c r="J214" s="1087"/>
      <c r="K214" s="1087"/>
      <c r="L214" s="1087"/>
    </row>
    <row r="215" spans="1:12" s="1035" customFormat="1" ht="22.5" hidden="1" customHeight="1">
      <c r="A215" s="1058"/>
      <c r="B215" s="1063" t="s">
        <v>61</v>
      </c>
      <c r="C215" s="1035" t="s">
        <v>5551</v>
      </c>
      <c r="D215" s="1059"/>
      <c r="E215" s="1122"/>
      <c r="F215" s="1087"/>
      <c r="G215" s="1122"/>
      <c r="H215" s="1087"/>
      <c r="I215" s="1087"/>
      <c r="J215" s="1087"/>
      <c r="K215" s="1087"/>
      <c r="L215" s="1087"/>
    </row>
    <row r="216" spans="1:12" s="1035" customFormat="1" ht="22.5" hidden="1" customHeight="1">
      <c r="A216" s="1058"/>
      <c r="B216" s="1063" t="s">
        <v>62</v>
      </c>
      <c r="C216" s="1035" t="s">
        <v>5552</v>
      </c>
      <c r="D216" s="1059"/>
      <c r="E216" s="1122"/>
      <c r="F216" s="1087"/>
      <c r="G216" s="1122"/>
      <c r="H216" s="1087"/>
      <c r="I216" s="1087"/>
      <c r="J216" s="1087"/>
      <c r="K216" s="1087"/>
      <c r="L216" s="1087"/>
    </row>
    <row r="217" spans="1:12" s="1035" customFormat="1" ht="22.5" hidden="1" customHeight="1">
      <c r="A217" s="1058"/>
      <c r="B217" s="1063" t="s">
        <v>76</v>
      </c>
      <c r="C217" s="1035" t="s">
        <v>5553</v>
      </c>
      <c r="D217" s="1059"/>
      <c r="E217" s="1122"/>
      <c r="F217" s="1087"/>
      <c r="G217" s="1122"/>
      <c r="H217" s="1087"/>
      <c r="I217" s="1087"/>
      <c r="J217" s="1087"/>
      <c r="K217" s="1087"/>
      <c r="L217" s="1087"/>
    </row>
    <row r="218" spans="1:12" s="1035" customFormat="1" ht="22.5" hidden="1" customHeight="1">
      <c r="A218" s="1058"/>
      <c r="B218" s="1063" t="s">
        <v>3014</v>
      </c>
      <c r="C218" s="1035" t="s">
        <v>5554</v>
      </c>
      <c r="D218" s="1059"/>
      <c r="E218" s="1122"/>
      <c r="F218" s="1123"/>
      <c r="G218" s="1122"/>
      <c r="H218" s="1123"/>
      <c r="I218" s="1124"/>
      <c r="J218" s="1124"/>
      <c r="K218" s="1124"/>
      <c r="L218" s="1124"/>
    </row>
    <row r="219" spans="1:12" s="1035" customFormat="1" ht="22.5" hidden="1" customHeight="1">
      <c r="A219" s="1058" t="s">
        <v>48</v>
      </c>
      <c r="B219" s="1031" t="s">
        <v>5555</v>
      </c>
      <c r="C219" s="1031"/>
      <c r="D219" s="1059"/>
      <c r="E219" s="1057"/>
      <c r="F219" s="1087">
        <v>0</v>
      </c>
      <c r="G219" s="1057"/>
      <c r="H219" s="1087">
        <v>0</v>
      </c>
      <c r="I219" s="1087"/>
      <c r="J219" s="1087"/>
      <c r="K219" s="1087"/>
      <c r="L219" s="1087"/>
    </row>
    <row r="220" spans="1:12" s="1035" customFormat="1" ht="22.5" hidden="1" customHeight="1">
      <c r="A220" s="1058" t="s">
        <v>63</v>
      </c>
      <c r="B220" s="1031" t="s">
        <v>5556</v>
      </c>
      <c r="C220" s="1031"/>
      <c r="D220" s="1055"/>
      <c r="E220" s="1057"/>
      <c r="F220" s="1125">
        <v>0</v>
      </c>
      <c r="G220" s="1057"/>
      <c r="H220" s="1125">
        <v>0</v>
      </c>
      <c r="I220" s="1126"/>
      <c r="J220" s="1126"/>
      <c r="K220" s="1126"/>
      <c r="L220" s="1126"/>
    </row>
    <row r="221" spans="1:12" s="1035" customFormat="1" ht="22.5" hidden="1" customHeight="1">
      <c r="A221" s="1058" t="s">
        <v>64</v>
      </c>
      <c r="B221" s="1031" t="s">
        <v>5557</v>
      </c>
      <c r="C221" s="1031"/>
      <c r="D221" s="1055"/>
      <c r="E221" s="1057"/>
      <c r="F221" s="1057">
        <v>0</v>
      </c>
      <c r="G221" s="1057"/>
      <c r="H221" s="1057">
        <v>0</v>
      </c>
      <c r="I221" s="1057"/>
      <c r="J221" s="1057"/>
      <c r="K221" s="1057"/>
      <c r="L221" s="1057"/>
    </row>
    <row r="222" spans="1:12" s="1035" customFormat="1" ht="22.5" hidden="1" customHeight="1">
      <c r="A222" s="1058" t="s">
        <v>66</v>
      </c>
      <c r="B222" s="1031" t="s">
        <v>5558</v>
      </c>
      <c r="C222" s="1031"/>
      <c r="D222" s="1055"/>
      <c r="E222" s="1057"/>
      <c r="F222" s="1122">
        <v>0</v>
      </c>
      <c r="G222" s="1057"/>
      <c r="H222" s="1122">
        <v>0</v>
      </c>
      <c r="I222" s="1126"/>
      <c r="J222" s="1126"/>
      <c r="K222" s="1126"/>
      <c r="L222" s="1126"/>
    </row>
    <row r="223" spans="1:12" s="1035" customFormat="1" ht="22.5" hidden="1" customHeight="1" thickBot="1">
      <c r="A223" s="1058" t="s">
        <v>68</v>
      </c>
      <c r="B223" s="1031" t="s">
        <v>5559</v>
      </c>
      <c r="C223" s="1031"/>
      <c r="D223" s="1055"/>
      <c r="E223" s="1127"/>
      <c r="F223" s="1128">
        <v>0</v>
      </c>
      <c r="G223" s="1127"/>
      <c r="H223" s="1128">
        <v>0</v>
      </c>
      <c r="I223" s="1057"/>
      <c r="J223" s="1057"/>
      <c r="K223" s="1057"/>
      <c r="L223" s="1057"/>
    </row>
    <row r="224" spans="1:12" s="1035" customFormat="1" ht="22.5" hidden="1" customHeight="1" thickTop="1">
      <c r="A224" s="1097"/>
      <c r="B224" s="1077"/>
      <c r="C224" s="1077"/>
      <c r="D224" s="1098"/>
      <c r="E224" s="1079"/>
      <c r="F224" s="1079"/>
      <c r="G224" s="1079"/>
      <c r="H224" s="1079"/>
      <c r="I224" s="1079"/>
      <c r="J224" s="1079"/>
      <c r="K224" s="1079"/>
      <c r="L224" s="1079"/>
    </row>
    <row r="225" spans="1:12" s="1035" customFormat="1" ht="12.75" hidden="1">
      <c r="A225" s="1031"/>
      <c r="B225" s="1031"/>
      <c r="E225" s="1129"/>
      <c r="F225" s="1129"/>
      <c r="G225" s="1129"/>
      <c r="H225" s="1129"/>
      <c r="I225" s="1129"/>
      <c r="J225" s="1129"/>
      <c r="K225" s="1129"/>
      <c r="L225" s="1129"/>
    </row>
    <row r="226" spans="1:12" s="1035" customFormat="1" ht="12.75">
      <c r="A226" s="1130"/>
      <c r="B226" s="1031"/>
      <c r="C226" s="1031"/>
      <c r="D226" s="1031"/>
      <c r="E226" s="1099"/>
      <c r="F226" s="1099"/>
      <c r="G226" s="1099"/>
      <c r="H226" s="1099"/>
      <c r="I226" s="1099"/>
      <c r="J226" s="1099"/>
      <c r="K226" s="1099"/>
      <c r="L226" s="1099"/>
    </row>
    <row r="227" spans="1:12" s="1035" customFormat="1" ht="12.75">
      <c r="A227" s="1065"/>
      <c r="B227" s="1032"/>
      <c r="C227" s="1033"/>
      <c r="D227" s="1032"/>
      <c r="E227" s="1034"/>
      <c r="F227" s="1034"/>
      <c r="G227" s="1034"/>
      <c r="H227" s="1034"/>
      <c r="I227" s="1034"/>
      <c r="J227" s="1034"/>
      <c r="K227" s="1034"/>
      <c r="L227" s="1034"/>
    </row>
    <row r="228" spans="1:12" s="1035" customFormat="1" ht="12.75">
      <c r="A228" s="1032"/>
      <c r="B228" s="1032"/>
      <c r="C228" s="1033"/>
      <c r="D228" s="1032"/>
      <c r="E228" s="1034"/>
      <c r="F228" s="1034"/>
      <c r="G228" s="1034"/>
      <c r="H228" s="1034"/>
      <c r="I228" s="1034"/>
      <c r="J228" s="1034"/>
      <c r="K228" s="1034"/>
      <c r="L228" s="1034"/>
    </row>
    <row r="229" spans="1:12" s="1035" customFormat="1" ht="12.75">
      <c r="A229" s="1032"/>
      <c r="B229" s="1032"/>
      <c r="C229" s="1033"/>
      <c r="D229" s="1032"/>
      <c r="E229" s="1034"/>
      <c r="F229" s="1034"/>
      <c r="G229" s="1034"/>
      <c r="H229" s="1034"/>
      <c r="I229" s="1034"/>
      <c r="J229" s="1034"/>
      <c r="K229" s="1034"/>
      <c r="L229" s="1034"/>
    </row>
    <row r="230" spans="1:12" s="1035" customFormat="1" ht="12.75">
      <c r="A230" s="1032"/>
      <c r="B230" s="1032"/>
      <c r="C230" s="1033"/>
      <c r="D230" s="1032"/>
      <c r="E230" s="1034"/>
      <c r="F230" s="1034"/>
      <c r="G230" s="1034"/>
      <c r="H230" s="1034"/>
      <c r="I230" s="1034"/>
      <c r="J230" s="1034"/>
      <c r="K230" s="1034"/>
      <c r="L230" s="1034"/>
    </row>
    <row r="231" spans="1:12" s="1035" customFormat="1" ht="12.75">
      <c r="A231" s="1032"/>
      <c r="B231" s="1032"/>
      <c r="C231" s="1033"/>
      <c r="D231" s="1032"/>
      <c r="E231" s="1034"/>
      <c r="F231" s="1034"/>
      <c r="G231" s="1034"/>
      <c r="H231" s="1034"/>
      <c r="I231" s="1034"/>
      <c r="J231" s="1034"/>
      <c r="K231" s="1034"/>
      <c r="L231" s="1034"/>
    </row>
    <row r="232" spans="1:12" s="1035" customFormat="1" ht="12.75">
      <c r="A232" s="1032"/>
      <c r="B232" s="1032"/>
      <c r="C232" s="1033"/>
      <c r="D232" s="1032"/>
      <c r="E232" s="1034"/>
      <c r="F232" s="1034"/>
      <c r="G232" s="1034"/>
      <c r="H232" s="1034"/>
      <c r="I232" s="1034"/>
      <c r="J232" s="1034"/>
      <c r="K232" s="1034"/>
      <c r="L232" s="1034"/>
    </row>
    <row r="233" spans="1:12" s="1035" customFormat="1" ht="12.75">
      <c r="A233" s="1032"/>
      <c r="B233" s="1032"/>
      <c r="C233" s="1033"/>
      <c r="D233" s="1032"/>
      <c r="E233" s="1034"/>
      <c r="F233" s="1034"/>
      <c r="G233" s="1034"/>
      <c r="H233" s="1034"/>
      <c r="I233" s="1034"/>
      <c r="J233" s="1034"/>
      <c r="K233" s="1034"/>
      <c r="L233" s="1034"/>
    </row>
    <row r="234" spans="1:12" s="1035" customFormat="1" ht="12.75">
      <c r="A234" s="1032"/>
      <c r="B234" s="1032"/>
      <c r="C234" s="1033"/>
      <c r="D234" s="1032"/>
      <c r="E234" s="1034"/>
      <c r="F234" s="1034"/>
      <c r="G234" s="1034"/>
      <c r="H234" s="1034"/>
      <c r="I234" s="1034"/>
      <c r="J234" s="1034"/>
      <c r="K234" s="1034"/>
      <c r="L234" s="1034"/>
    </row>
    <row r="235" spans="1:12" s="1035" customFormat="1" ht="12.75">
      <c r="A235" s="1032"/>
      <c r="B235" s="1032"/>
      <c r="C235" s="1033"/>
      <c r="D235" s="1032"/>
      <c r="E235" s="1034"/>
      <c r="F235" s="1034"/>
      <c r="G235" s="1034"/>
      <c r="H235" s="1034"/>
      <c r="I235" s="1034"/>
      <c r="J235" s="1034"/>
      <c r="K235" s="1034"/>
      <c r="L235" s="1034"/>
    </row>
    <row r="236" spans="1:12" s="1035" customFormat="1" ht="12.75">
      <c r="A236" s="1032"/>
      <c r="B236" s="1032"/>
      <c r="C236" s="1033"/>
      <c r="D236" s="1032"/>
      <c r="E236" s="1034"/>
      <c r="F236" s="1034"/>
      <c r="G236" s="1034"/>
      <c r="H236" s="1034"/>
      <c r="I236" s="1034"/>
      <c r="J236" s="1034"/>
      <c r="K236" s="1034"/>
      <c r="L236" s="1034"/>
    </row>
    <row r="237" spans="1:12" s="1035" customFormat="1" ht="12.75">
      <c r="A237" s="1032"/>
      <c r="B237" s="1032"/>
      <c r="C237" s="1033"/>
      <c r="D237" s="1032"/>
      <c r="E237" s="1034"/>
      <c r="F237" s="1034"/>
      <c r="G237" s="1034"/>
      <c r="H237" s="1034"/>
      <c r="I237" s="1034"/>
      <c r="J237" s="1034"/>
      <c r="K237" s="1034"/>
      <c r="L237" s="1034"/>
    </row>
    <row r="238" spans="1:12" s="1035" customFormat="1" ht="12.75">
      <c r="A238" s="1032"/>
      <c r="B238" s="1032"/>
      <c r="C238" s="1033"/>
      <c r="D238" s="1032"/>
      <c r="E238" s="1034"/>
      <c r="F238" s="1034"/>
      <c r="G238" s="1034"/>
      <c r="H238" s="1034"/>
      <c r="I238" s="1034"/>
      <c r="J238" s="1034"/>
      <c r="K238" s="1034"/>
      <c r="L238" s="1034"/>
    </row>
    <row r="239" spans="1:12" s="1035" customFormat="1" ht="12.75">
      <c r="A239" s="1032"/>
      <c r="B239" s="1032"/>
      <c r="C239" s="1033"/>
      <c r="D239" s="1032"/>
      <c r="E239" s="1034"/>
      <c r="F239" s="1034"/>
      <c r="G239" s="1034"/>
      <c r="H239" s="1034"/>
      <c r="I239" s="1034"/>
      <c r="J239" s="1034"/>
      <c r="K239" s="1034"/>
      <c r="L239" s="1034"/>
    </row>
    <row r="240" spans="1:12" s="1035" customFormat="1" ht="12.75">
      <c r="A240" s="1032"/>
      <c r="B240" s="1032"/>
      <c r="C240" s="1033"/>
      <c r="D240" s="1032"/>
      <c r="E240" s="1034"/>
      <c r="F240" s="1034"/>
      <c r="G240" s="1034"/>
      <c r="H240" s="1034"/>
      <c r="I240" s="1034"/>
      <c r="J240" s="1034"/>
      <c r="K240" s="1034"/>
      <c r="L240" s="1034"/>
    </row>
    <row r="241" spans="1:12" s="1035" customFormat="1" ht="12.75">
      <c r="A241" s="1032"/>
      <c r="B241" s="1032"/>
      <c r="C241" s="1033"/>
      <c r="D241" s="1032"/>
      <c r="E241" s="1034"/>
      <c r="F241" s="1034"/>
      <c r="G241" s="1034"/>
      <c r="H241" s="1034"/>
      <c r="I241" s="1034"/>
      <c r="J241" s="1034"/>
      <c r="K241" s="1034"/>
      <c r="L241" s="1034"/>
    </row>
    <row r="242" spans="1:12" s="1035" customFormat="1" ht="12.75">
      <c r="A242" s="1032"/>
      <c r="B242" s="1032"/>
      <c r="C242" s="1033"/>
      <c r="D242" s="1032"/>
      <c r="E242" s="1034"/>
      <c r="F242" s="1034"/>
      <c r="G242" s="1034"/>
      <c r="H242" s="1034"/>
      <c r="I242" s="1034"/>
      <c r="J242" s="1034"/>
      <c r="K242" s="1034"/>
      <c r="L242" s="1034"/>
    </row>
    <row r="243" spans="1:12" s="1035" customFormat="1" ht="12.75">
      <c r="A243" s="1032"/>
      <c r="B243" s="1032"/>
      <c r="C243" s="1033"/>
      <c r="D243" s="1032"/>
      <c r="E243" s="1034"/>
      <c r="F243" s="1034"/>
      <c r="G243" s="1034"/>
      <c r="H243" s="1034"/>
      <c r="I243" s="1034"/>
      <c r="J243" s="1034"/>
      <c r="K243" s="1034"/>
      <c r="L243" s="1034"/>
    </row>
    <row r="244" spans="1:12" s="1035" customFormat="1" ht="12.75">
      <c r="A244" s="1032"/>
      <c r="B244" s="1032"/>
      <c r="C244" s="1033"/>
      <c r="D244" s="1032"/>
      <c r="E244" s="1034"/>
      <c r="F244" s="1034"/>
      <c r="G244" s="1034"/>
      <c r="H244" s="1034"/>
      <c r="I244" s="1034"/>
      <c r="J244" s="1034"/>
      <c r="K244" s="1034"/>
      <c r="L244" s="1034"/>
    </row>
    <row r="245" spans="1:12" s="1035" customFormat="1" ht="12.75">
      <c r="A245" s="1032"/>
      <c r="B245" s="1032"/>
      <c r="C245" s="1033"/>
      <c r="D245" s="1032"/>
      <c r="E245" s="1034"/>
      <c r="F245" s="1034"/>
      <c r="G245" s="1034"/>
      <c r="H245" s="1034"/>
      <c r="I245" s="1034"/>
      <c r="J245" s="1034"/>
      <c r="K245" s="1034"/>
      <c r="L245" s="1034"/>
    </row>
    <row r="246" spans="1:12" s="1035" customFormat="1" ht="12.75">
      <c r="A246" s="1032"/>
      <c r="B246" s="1032"/>
      <c r="C246" s="1033"/>
      <c r="D246" s="1032"/>
      <c r="E246" s="1034"/>
      <c r="F246" s="1034"/>
      <c r="G246" s="1034"/>
      <c r="H246" s="1034"/>
      <c r="I246" s="1034"/>
      <c r="J246" s="1034"/>
      <c r="K246" s="1034"/>
      <c r="L246" s="1034"/>
    </row>
    <row r="247" spans="1:12" s="1035" customFormat="1" ht="12.75">
      <c r="A247" s="1032"/>
      <c r="B247" s="1032"/>
      <c r="C247" s="1033"/>
      <c r="D247" s="1032"/>
      <c r="E247" s="1034"/>
      <c r="F247" s="1034"/>
      <c r="G247" s="1034"/>
      <c r="H247" s="1034"/>
      <c r="I247" s="1034"/>
      <c r="J247" s="1034"/>
      <c r="K247" s="1034"/>
      <c r="L247" s="1034"/>
    </row>
    <row r="248" spans="1:12" s="1035" customFormat="1" ht="12.75">
      <c r="A248" s="1032"/>
      <c r="B248" s="1032"/>
      <c r="C248" s="1033"/>
      <c r="D248" s="1032"/>
      <c r="E248" s="1034"/>
      <c r="F248" s="1034"/>
      <c r="G248" s="1034"/>
      <c r="H248" s="1034"/>
      <c r="I248" s="1034"/>
      <c r="J248" s="1034"/>
      <c r="K248" s="1034"/>
      <c r="L248" s="1034"/>
    </row>
    <row r="249" spans="1:12" s="1035" customFormat="1" ht="12.75">
      <c r="A249" s="1032"/>
      <c r="B249" s="1032"/>
      <c r="C249" s="1033"/>
      <c r="D249" s="1032"/>
      <c r="E249" s="1034"/>
      <c r="F249" s="1034"/>
      <c r="G249" s="1034"/>
      <c r="H249" s="1034"/>
      <c r="I249" s="1034"/>
      <c r="J249" s="1034"/>
      <c r="K249" s="1034"/>
      <c r="L249" s="1034"/>
    </row>
    <row r="250" spans="1:12" s="1035" customFormat="1" ht="12.75">
      <c r="A250" s="1032"/>
      <c r="B250" s="1032"/>
      <c r="C250" s="1033"/>
      <c r="D250" s="1032"/>
      <c r="E250" s="1034"/>
      <c r="F250" s="1034"/>
      <c r="G250" s="1034"/>
      <c r="H250" s="1034"/>
      <c r="I250" s="1034"/>
      <c r="J250" s="1034"/>
      <c r="K250" s="1034"/>
      <c r="L250" s="1034"/>
    </row>
    <row r="251" spans="1:12" s="1035" customFormat="1" ht="12.75">
      <c r="A251" s="1032"/>
      <c r="B251" s="1032"/>
      <c r="C251" s="1033"/>
      <c r="D251" s="1032"/>
      <c r="E251" s="1034"/>
      <c r="F251" s="1034"/>
      <c r="G251" s="1034"/>
      <c r="H251" s="1034"/>
      <c r="I251" s="1034"/>
      <c r="J251" s="1034"/>
      <c r="K251" s="1034"/>
      <c r="L251" s="1034"/>
    </row>
    <row r="252" spans="1:12" s="1035" customFormat="1" ht="12.75">
      <c r="A252" s="1032"/>
      <c r="B252" s="1032"/>
      <c r="C252" s="1033"/>
      <c r="D252" s="1032"/>
      <c r="E252" s="1034"/>
      <c r="F252" s="1034"/>
      <c r="G252" s="1034"/>
      <c r="H252" s="1034"/>
      <c r="I252" s="1034"/>
      <c r="J252" s="1034"/>
      <c r="K252" s="1034"/>
      <c r="L252" s="1034"/>
    </row>
    <row r="253" spans="1:12" s="1035" customFormat="1" ht="12.75">
      <c r="A253" s="1032"/>
      <c r="B253" s="1032"/>
      <c r="C253" s="1033"/>
      <c r="D253" s="1032"/>
      <c r="E253" s="1034"/>
      <c r="F253" s="1034"/>
      <c r="G253" s="1034"/>
      <c r="H253" s="1034"/>
      <c r="I253" s="1034"/>
      <c r="J253" s="1034"/>
      <c r="K253" s="1034"/>
      <c r="L253" s="1034"/>
    </row>
    <row r="254" spans="1:12" s="1035" customFormat="1" ht="12.75">
      <c r="A254" s="1032"/>
      <c r="B254" s="1032"/>
      <c r="C254" s="1033"/>
      <c r="D254" s="1032"/>
      <c r="E254" s="1034"/>
      <c r="F254" s="1034"/>
      <c r="G254" s="1034"/>
      <c r="H254" s="1034"/>
      <c r="I254" s="1034"/>
      <c r="J254" s="1034"/>
      <c r="K254" s="1034"/>
      <c r="L254" s="1034"/>
    </row>
    <row r="255" spans="1:12" s="1035" customFormat="1" ht="12.75">
      <c r="A255" s="1032"/>
      <c r="B255" s="1032"/>
      <c r="C255" s="1033"/>
      <c r="D255" s="1032"/>
      <c r="E255" s="1034"/>
      <c r="F255" s="1034"/>
      <c r="G255" s="1034"/>
      <c r="H255" s="1034"/>
      <c r="I255" s="1034"/>
      <c r="J255" s="1034"/>
      <c r="K255" s="1034"/>
      <c r="L255" s="1034"/>
    </row>
    <row r="256" spans="1:12" s="1035" customFormat="1" ht="12.75">
      <c r="A256" s="1032"/>
      <c r="B256" s="1032"/>
      <c r="C256" s="1033"/>
      <c r="D256" s="1032"/>
      <c r="E256" s="1034"/>
      <c r="F256" s="1034"/>
      <c r="G256" s="1034"/>
      <c r="H256" s="1034"/>
      <c r="I256" s="1034"/>
      <c r="J256" s="1034"/>
      <c r="K256" s="1034"/>
      <c r="L256" s="1034"/>
    </row>
    <row r="257" spans="1:12" s="1035" customFormat="1" ht="12.75">
      <c r="A257" s="1032"/>
      <c r="B257" s="1032"/>
      <c r="C257" s="1033"/>
      <c r="D257" s="1032"/>
      <c r="E257" s="1034"/>
      <c r="F257" s="1034"/>
      <c r="G257" s="1034"/>
      <c r="H257" s="1034"/>
      <c r="I257" s="1034"/>
      <c r="J257" s="1034"/>
      <c r="K257" s="1034"/>
      <c r="L257" s="1034"/>
    </row>
    <row r="258" spans="1:12" s="1035" customFormat="1" ht="12.75">
      <c r="A258" s="1032"/>
      <c r="B258" s="1032"/>
      <c r="C258" s="1033"/>
      <c r="D258" s="1032"/>
      <c r="E258" s="1034"/>
      <c r="F258" s="1034"/>
      <c r="G258" s="1034"/>
      <c r="H258" s="1034"/>
      <c r="I258" s="1034"/>
      <c r="J258" s="1034"/>
      <c r="K258" s="1034"/>
      <c r="L258" s="1034"/>
    </row>
    <row r="259" spans="1:12" s="1035" customFormat="1" ht="12.75">
      <c r="A259" s="1032"/>
      <c r="B259" s="1032"/>
      <c r="C259" s="1033"/>
      <c r="D259" s="1032"/>
      <c r="E259" s="1034"/>
      <c r="F259" s="1034"/>
      <c r="G259" s="1034"/>
      <c r="H259" s="1034"/>
      <c r="I259" s="1034"/>
      <c r="J259" s="1034"/>
      <c r="K259" s="1034"/>
      <c r="L259" s="1034"/>
    </row>
    <row r="260" spans="1:12" s="1035" customFormat="1" ht="12.75">
      <c r="A260" s="1032"/>
      <c r="B260" s="1032"/>
      <c r="C260" s="1033"/>
      <c r="D260" s="1032"/>
      <c r="E260" s="1034"/>
      <c r="F260" s="1034"/>
      <c r="G260" s="1034"/>
      <c r="H260" s="1034"/>
      <c r="I260" s="1034"/>
      <c r="J260" s="1034"/>
      <c r="K260" s="1034"/>
      <c r="L260" s="1034"/>
    </row>
    <row r="261" spans="1:12" s="1035" customFormat="1" ht="12.75">
      <c r="A261" s="1032"/>
      <c r="B261" s="1032"/>
      <c r="C261" s="1033"/>
      <c r="D261" s="1032"/>
      <c r="E261" s="1034"/>
      <c r="F261" s="1034"/>
      <c r="G261" s="1034"/>
      <c r="H261" s="1034"/>
      <c r="I261" s="1034"/>
      <c r="J261" s="1034"/>
      <c r="K261" s="1034"/>
      <c r="L261" s="1034"/>
    </row>
    <row r="262" spans="1:12" s="1035" customFormat="1" ht="12.75">
      <c r="A262" s="1032"/>
      <c r="B262" s="1032"/>
      <c r="C262" s="1033"/>
      <c r="D262" s="1032"/>
      <c r="E262" s="1034"/>
      <c r="F262" s="1034"/>
      <c r="G262" s="1034"/>
      <c r="H262" s="1034"/>
      <c r="I262" s="1034"/>
      <c r="J262" s="1034"/>
      <c r="K262" s="1034"/>
      <c r="L262" s="1034"/>
    </row>
    <row r="263" spans="1:12" s="1035" customFormat="1" ht="12.75">
      <c r="A263" s="1032"/>
      <c r="B263" s="1032"/>
      <c r="C263" s="1033"/>
      <c r="D263" s="1032"/>
      <c r="E263" s="1034"/>
      <c r="F263" s="1034"/>
      <c r="G263" s="1034"/>
      <c r="H263" s="1034"/>
      <c r="I263" s="1034"/>
      <c r="J263" s="1034"/>
      <c r="K263" s="1034"/>
      <c r="L263" s="1034"/>
    </row>
    <row r="264" spans="1:12" s="1035" customFormat="1" ht="12.75">
      <c r="A264" s="1032"/>
      <c r="B264" s="1032"/>
      <c r="C264" s="1033"/>
      <c r="D264" s="1032"/>
      <c r="E264" s="1034"/>
      <c r="F264" s="1034"/>
      <c r="G264" s="1034"/>
      <c r="H264" s="1034"/>
      <c r="I264" s="1034"/>
      <c r="J264" s="1034"/>
      <c r="K264" s="1034"/>
      <c r="L264" s="1034"/>
    </row>
    <row r="265" spans="1:12" s="1035" customFormat="1" ht="12.75">
      <c r="A265" s="1032"/>
      <c r="B265" s="1032"/>
      <c r="C265" s="1033"/>
      <c r="D265" s="1032"/>
      <c r="E265" s="1034"/>
      <c r="F265" s="1034"/>
      <c r="G265" s="1034"/>
      <c r="H265" s="1034"/>
      <c r="I265" s="1034"/>
      <c r="J265" s="1034"/>
      <c r="K265" s="1034"/>
      <c r="L265" s="1034"/>
    </row>
    <row r="266" spans="1:12" s="1035" customFormat="1" ht="12.75">
      <c r="A266" s="1032"/>
      <c r="B266" s="1032"/>
      <c r="C266" s="1033"/>
      <c r="D266" s="1032"/>
      <c r="E266" s="1034"/>
      <c r="F266" s="1034"/>
      <c r="G266" s="1034"/>
      <c r="H266" s="1034"/>
      <c r="I266" s="1034"/>
      <c r="J266" s="1034"/>
      <c r="K266" s="1034"/>
      <c r="L266" s="1034"/>
    </row>
    <row r="267" spans="1:12" s="1035" customFormat="1" ht="12.75">
      <c r="A267" s="1032"/>
      <c r="B267" s="1032"/>
      <c r="C267" s="1033"/>
      <c r="D267" s="1032"/>
      <c r="E267" s="1034"/>
      <c r="F267" s="1034"/>
      <c r="G267" s="1034"/>
      <c r="H267" s="1034"/>
      <c r="I267" s="1034"/>
      <c r="J267" s="1034"/>
      <c r="K267" s="1034"/>
      <c r="L267" s="1034"/>
    </row>
    <row r="268" spans="1:12" s="1035" customFormat="1" ht="12.75">
      <c r="A268" s="1032"/>
      <c r="B268" s="1032"/>
      <c r="C268" s="1033"/>
      <c r="D268" s="1032"/>
      <c r="E268" s="1034"/>
      <c r="F268" s="1034"/>
      <c r="G268" s="1034"/>
      <c r="H268" s="1034"/>
      <c r="I268" s="1034"/>
      <c r="J268" s="1034"/>
      <c r="K268" s="1034"/>
      <c r="L268" s="1034"/>
    </row>
    <row r="269" spans="1:12" s="1035" customFormat="1" ht="12.75">
      <c r="A269" s="1032"/>
      <c r="B269" s="1032"/>
      <c r="C269" s="1033"/>
      <c r="D269" s="1032"/>
      <c r="E269" s="1034"/>
      <c r="F269" s="1034"/>
      <c r="G269" s="1034"/>
      <c r="H269" s="1034"/>
      <c r="I269" s="1034"/>
      <c r="J269" s="1034"/>
      <c r="K269" s="1034"/>
      <c r="L269" s="1034"/>
    </row>
    <row r="270" spans="1:12" s="1035" customFormat="1" ht="12.75">
      <c r="A270" s="1032"/>
      <c r="B270" s="1032"/>
      <c r="C270" s="1033"/>
      <c r="D270" s="1032"/>
      <c r="E270" s="1034"/>
      <c r="F270" s="1034"/>
      <c r="G270" s="1034"/>
      <c r="H270" s="1034"/>
      <c r="I270" s="1034"/>
      <c r="J270" s="1034"/>
      <c r="K270" s="1034"/>
      <c r="L270" s="1034"/>
    </row>
    <row r="271" spans="1:12" s="1035" customFormat="1" ht="12.75">
      <c r="A271" s="1032"/>
      <c r="B271" s="1032"/>
      <c r="C271" s="1033"/>
      <c r="D271" s="1032"/>
      <c r="E271" s="1034"/>
      <c r="F271" s="1034"/>
      <c r="G271" s="1034"/>
      <c r="H271" s="1034"/>
      <c r="I271" s="1034"/>
      <c r="J271" s="1034"/>
      <c r="K271" s="1034"/>
      <c r="L271" s="1034"/>
    </row>
    <row r="272" spans="1:12" s="1035" customFormat="1" ht="12.75">
      <c r="A272" s="1032"/>
      <c r="B272" s="1032"/>
      <c r="C272" s="1033"/>
      <c r="D272" s="1032"/>
      <c r="E272" s="1034"/>
      <c r="F272" s="1034"/>
      <c r="G272" s="1034"/>
      <c r="H272" s="1034"/>
      <c r="I272" s="1034"/>
      <c r="J272" s="1034"/>
      <c r="K272" s="1034"/>
      <c r="L272" s="1034"/>
    </row>
    <row r="273" spans="1:12" s="1035" customFormat="1" ht="12.75">
      <c r="A273" s="1032"/>
      <c r="B273" s="1032"/>
      <c r="C273" s="1033"/>
      <c r="D273" s="1032"/>
      <c r="E273" s="1034"/>
      <c r="F273" s="1034"/>
      <c r="G273" s="1034"/>
      <c r="H273" s="1034"/>
      <c r="I273" s="1034"/>
      <c r="J273" s="1034"/>
      <c r="K273" s="1034"/>
      <c r="L273" s="1034"/>
    </row>
    <row r="274" spans="1:12" s="1035" customFormat="1" ht="12.75">
      <c r="A274" s="1032"/>
      <c r="B274" s="1032"/>
      <c r="C274" s="1033"/>
      <c r="D274" s="1032"/>
      <c r="E274" s="1034"/>
      <c r="F274" s="1034"/>
      <c r="G274" s="1034"/>
      <c r="H274" s="1034"/>
      <c r="I274" s="1034"/>
      <c r="J274" s="1034"/>
      <c r="K274" s="1034"/>
      <c r="L274" s="1034"/>
    </row>
    <row r="275" spans="1:12" s="1035" customFormat="1" ht="12.75">
      <c r="A275" s="1032"/>
      <c r="B275" s="1032"/>
      <c r="C275" s="1033"/>
      <c r="D275" s="1032"/>
      <c r="E275" s="1034"/>
      <c r="F275" s="1034"/>
      <c r="G275" s="1034"/>
      <c r="H275" s="1034"/>
      <c r="I275" s="1034"/>
      <c r="J275" s="1034"/>
      <c r="K275" s="1034"/>
      <c r="L275" s="1034"/>
    </row>
    <row r="276" spans="1:12" s="1035" customFormat="1" ht="12.75">
      <c r="A276" s="1032"/>
      <c r="B276" s="1032"/>
      <c r="C276" s="1033"/>
      <c r="D276" s="1032"/>
      <c r="E276" s="1034"/>
      <c r="F276" s="1034"/>
      <c r="G276" s="1034"/>
      <c r="H276" s="1034"/>
      <c r="I276" s="1034"/>
      <c r="J276" s="1034"/>
      <c r="K276" s="1034"/>
      <c r="L276" s="1034"/>
    </row>
    <row r="277" spans="1:12" s="1035" customFormat="1" ht="12.75">
      <c r="A277" s="1032"/>
      <c r="B277" s="1032"/>
      <c r="C277" s="1033"/>
      <c r="D277" s="1032"/>
      <c r="E277" s="1034"/>
      <c r="F277" s="1034"/>
      <c r="G277" s="1034"/>
      <c r="H277" s="1034"/>
      <c r="I277" s="1034"/>
      <c r="J277" s="1034"/>
      <c r="K277" s="1034"/>
      <c r="L277" s="1034"/>
    </row>
    <row r="278" spans="1:12" s="1035" customFormat="1" ht="12.75">
      <c r="A278" s="1032"/>
      <c r="B278" s="1032"/>
      <c r="C278" s="1033"/>
      <c r="D278" s="1032"/>
      <c r="E278" s="1034"/>
      <c r="F278" s="1034"/>
      <c r="G278" s="1034"/>
      <c r="H278" s="1034"/>
      <c r="I278" s="1034"/>
      <c r="J278" s="1034"/>
      <c r="K278" s="1034"/>
      <c r="L278" s="1034"/>
    </row>
    <row r="279" spans="1:12" s="1035" customFormat="1" ht="12.75">
      <c r="A279" s="1032"/>
      <c r="B279" s="1032"/>
      <c r="C279" s="1033"/>
      <c r="D279" s="1032"/>
      <c r="E279" s="1034"/>
      <c r="F279" s="1034"/>
      <c r="G279" s="1034"/>
      <c r="H279" s="1034"/>
      <c r="I279" s="1034"/>
      <c r="J279" s="1034"/>
      <c r="K279" s="1034"/>
      <c r="L279" s="1034"/>
    </row>
    <row r="280" spans="1:12" s="1035" customFormat="1" ht="12.75">
      <c r="A280" s="1032"/>
      <c r="B280" s="1032"/>
      <c r="C280" s="1033"/>
      <c r="D280" s="1032"/>
      <c r="E280" s="1034"/>
      <c r="F280" s="1034"/>
      <c r="G280" s="1034"/>
      <c r="H280" s="1034"/>
      <c r="I280" s="1034"/>
      <c r="J280" s="1034"/>
      <c r="K280" s="1034"/>
      <c r="L280" s="1034"/>
    </row>
    <row r="281" spans="1:12" s="1035" customFormat="1" ht="12.75">
      <c r="A281" s="1032"/>
      <c r="B281" s="1032"/>
      <c r="C281" s="1033"/>
      <c r="D281" s="1032"/>
      <c r="E281" s="1034"/>
      <c r="F281" s="1034"/>
      <c r="G281" s="1034"/>
      <c r="H281" s="1034"/>
      <c r="I281" s="1034"/>
      <c r="J281" s="1034"/>
      <c r="K281" s="1034"/>
      <c r="L281" s="1034"/>
    </row>
    <row r="282" spans="1:12" s="1035" customFormat="1" ht="12.75">
      <c r="A282" s="1032"/>
      <c r="B282" s="1032"/>
      <c r="C282" s="1033"/>
      <c r="D282" s="1032"/>
      <c r="E282" s="1034"/>
      <c r="F282" s="1034"/>
      <c r="G282" s="1034"/>
      <c r="H282" s="1034"/>
      <c r="I282" s="1034"/>
      <c r="J282" s="1034"/>
      <c r="K282" s="1034"/>
      <c r="L282" s="1034"/>
    </row>
    <row r="283" spans="1:12" s="1035" customFormat="1" ht="12.75">
      <c r="A283" s="1032"/>
      <c r="B283" s="1032"/>
      <c r="C283" s="1033"/>
      <c r="D283" s="1032"/>
      <c r="E283" s="1034"/>
      <c r="F283" s="1034"/>
      <c r="G283" s="1034"/>
      <c r="H283" s="1034"/>
      <c r="I283" s="1034"/>
      <c r="J283" s="1034"/>
      <c r="K283" s="1034"/>
      <c r="L283" s="1034"/>
    </row>
    <row r="284" spans="1:12" s="1035" customFormat="1" ht="12.75">
      <c r="A284" s="1032"/>
      <c r="B284" s="1032"/>
      <c r="C284" s="1033"/>
      <c r="D284" s="1032"/>
      <c r="E284" s="1034"/>
      <c r="F284" s="1034"/>
      <c r="G284" s="1034"/>
      <c r="H284" s="1034"/>
      <c r="I284" s="1034"/>
      <c r="J284" s="1034"/>
      <c r="K284" s="1034"/>
      <c r="L284" s="1034"/>
    </row>
    <row r="285" spans="1:12" s="1035" customFormat="1" ht="12.75">
      <c r="A285" s="1032"/>
      <c r="B285" s="1032"/>
      <c r="C285" s="1033"/>
      <c r="D285" s="1032"/>
      <c r="E285" s="1034"/>
      <c r="F285" s="1034"/>
      <c r="G285" s="1034"/>
      <c r="H285" s="1034"/>
      <c r="I285" s="1034"/>
      <c r="J285" s="1034"/>
      <c r="K285" s="1034"/>
      <c r="L285" s="1034"/>
    </row>
    <row r="286" spans="1:12" s="1035" customFormat="1" ht="12.75">
      <c r="A286" s="1032"/>
      <c r="B286" s="1032"/>
      <c r="C286" s="1033"/>
      <c r="D286" s="1032"/>
      <c r="E286" s="1034"/>
      <c r="F286" s="1034"/>
      <c r="G286" s="1034"/>
      <c r="H286" s="1034"/>
      <c r="I286" s="1034"/>
      <c r="J286" s="1034"/>
      <c r="K286" s="1034"/>
      <c r="L286" s="1034"/>
    </row>
    <row r="287" spans="1:12" s="1035" customFormat="1" ht="12.75">
      <c r="A287" s="1032"/>
      <c r="B287" s="1032"/>
      <c r="C287" s="1033"/>
      <c r="D287" s="1032"/>
      <c r="E287" s="1034"/>
      <c r="F287" s="1034"/>
      <c r="G287" s="1034"/>
      <c r="H287" s="1034"/>
      <c r="I287" s="1034"/>
      <c r="J287" s="1034"/>
      <c r="K287" s="1034"/>
      <c r="L287" s="1034"/>
    </row>
    <row r="288" spans="1:12" s="1035" customFormat="1" ht="12.75">
      <c r="A288" s="1032"/>
      <c r="B288" s="1032"/>
      <c r="C288" s="1033"/>
      <c r="D288" s="1032"/>
      <c r="E288" s="1034"/>
      <c r="F288" s="1034"/>
      <c r="G288" s="1034"/>
      <c r="H288" s="1034"/>
      <c r="I288" s="1034"/>
      <c r="J288" s="1034"/>
      <c r="K288" s="1034"/>
      <c r="L288" s="1034"/>
    </row>
    <row r="289" spans="1:12" s="1035" customFormat="1" ht="12.75">
      <c r="A289" s="1032"/>
      <c r="B289" s="1032"/>
      <c r="C289" s="1033"/>
      <c r="D289" s="1032"/>
      <c r="E289" s="1034"/>
      <c r="F289" s="1034"/>
      <c r="G289" s="1034"/>
      <c r="H289" s="1034"/>
      <c r="I289" s="1034"/>
      <c r="J289" s="1034"/>
      <c r="K289" s="1034"/>
      <c r="L289" s="1034"/>
    </row>
    <row r="290" spans="1:12" s="1035" customFormat="1" ht="12.75">
      <c r="A290" s="1032"/>
      <c r="B290" s="1032"/>
      <c r="C290" s="1033"/>
      <c r="D290" s="1032"/>
      <c r="E290" s="1034"/>
      <c r="F290" s="1034"/>
      <c r="G290" s="1034"/>
      <c r="H290" s="1034"/>
      <c r="I290" s="1034"/>
      <c r="J290" s="1034"/>
      <c r="K290" s="1034"/>
      <c r="L290" s="1034"/>
    </row>
    <row r="291" spans="1:12" s="1035" customFormat="1" ht="12.75">
      <c r="A291" s="1032"/>
      <c r="B291" s="1032"/>
      <c r="C291" s="1033"/>
      <c r="D291" s="1032"/>
      <c r="E291" s="1034"/>
      <c r="F291" s="1034"/>
      <c r="G291" s="1034"/>
      <c r="H291" s="1034"/>
      <c r="I291" s="1034"/>
      <c r="J291" s="1034"/>
      <c r="K291" s="1034"/>
      <c r="L291" s="1034"/>
    </row>
    <row r="292" spans="1:12" s="1035" customFormat="1" ht="12.75">
      <c r="A292" s="1032"/>
      <c r="B292" s="1032"/>
      <c r="C292" s="1033"/>
      <c r="D292" s="1032"/>
      <c r="E292" s="1034"/>
      <c r="F292" s="1034"/>
      <c r="G292" s="1034"/>
      <c r="H292" s="1034"/>
      <c r="I292" s="1034"/>
      <c r="J292" s="1034"/>
      <c r="K292" s="1034"/>
      <c r="L292" s="1034"/>
    </row>
    <row r="293" spans="1:12" s="1035" customFormat="1" ht="12.75">
      <c r="A293" s="1032"/>
      <c r="B293" s="1032"/>
      <c r="C293" s="1033"/>
      <c r="D293" s="1032"/>
      <c r="E293" s="1034"/>
      <c r="F293" s="1034"/>
      <c r="G293" s="1034"/>
      <c r="H293" s="1034"/>
      <c r="I293" s="1034"/>
      <c r="J293" s="1034"/>
      <c r="K293" s="1034"/>
      <c r="L293" s="1034"/>
    </row>
    <row r="294" spans="1:12" s="1035" customFormat="1" ht="12.75">
      <c r="A294" s="1032"/>
      <c r="B294" s="1032"/>
      <c r="C294" s="1033"/>
      <c r="D294" s="1032"/>
      <c r="E294" s="1034"/>
      <c r="F294" s="1034"/>
      <c r="G294" s="1034"/>
      <c r="H294" s="1034"/>
      <c r="I294" s="1034"/>
      <c r="J294" s="1034"/>
      <c r="K294" s="1034"/>
      <c r="L294" s="1034"/>
    </row>
    <row r="295" spans="1:12" s="1035" customFormat="1" ht="12.75">
      <c r="A295" s="1032"/>
      <c r="B295" s="1032"/>
      <c r="C295" s="1033"/>
      <c r="D295" s="1032"/>
      <c r="E295" s="1034"/>
      <c r="F295" s="1034"/>
      <c r="G295" s="1034"/>
      <c r="H295" s="1034"/>
      <c r="I295" s="1034"/>
      <c r="J295" s="1034"/>
      <c r="K295" s="1034"/>
      <c r="L295" s="1034"/>
    </row>
    <row r="296" spans="1:12" s="1035" customFormat="1" ht="12.75">
      <c r="A296" s="1032"/>
      <c r="B296" s="1032"/>
      <c r="C296" s="1033"/>
      <c r="D296" s="1032"/>
      <c r="E296" s="1034"/>
      <c r="F296" s="1034"/>
      <c r="G296" s="1034"/>
      <c r="H296" s="1034"/>
      <c r="I296" s="1034"/>
      <c r="J296" s="1034"/>
      <c r="K296" s="1034"/>
      <c r="L296" s="1034"/>
    </row>
    <row r="297" spans="1:12" s="1035" customFormat="1" ht="12.75">
      <c r="A297" s="1032"/>
      <c r="B297" s="1032"/>
      <c r="C297" s="1033"/>
      <c r="D297" s="1032"/>
      <c r="E297" s="1034"/>
      <c r="F297" s="1034"/>
      <c r="G297" s="1034"/>
      <c r="H297" s="1034"/>
      <c r="I297" s="1034"/>
      <c r="J297" s="1034"/>
      <c r="K297" s="1034"/>
      <c r="L297" s="1034"/>
    </row>
    <row r="298" spans="1:12" s="1035" customFormat="1" ht="12.75">
      <c r="A298" s="1032"/>
      <c r="B298" s="1032"/>
      <c r="C298" s="1033"/>
      <c r="D298" s="1032"/>
      <c r="E298" s="1034"/>
      <c r="F298" s="1034"/>
      <c r="G298" s="1034"/>
      <c r="H298" s="1034"/>
      <c r="I298" s="1034"/>
      <c r="J298" s="1034"/>
      <c r="K298" s="1034"/>
      <c r="L298" s="1034"/>
    </row>
    <row r="299" spans="1:12" s="1035" customFormat="1" ht="12.75">
      <c r="A299" s="1032"/>
      <c r="B299" s="1032"/>
      <c r="C299" s="1033"/>
      <c r="D299" s="1032"/>
      <c r="E299" s="1034"/>
      <c r="F299" s="1034"/>
      <c r="G299" s="1034"/>
      <c r="H299" s="1034"/>
      <c r="I299" s="1034"/>
      <c r="J299" s="1034"/>
      <c r="K299" s="1034"/>
      <c r="L299" s="1034"/>
    </row>
    <row r="300" spans="1:12" s="1035" customFormat="1" ht="12.75">
      <c r="A300" s="1032"/>
      <c r="B300" s="1032"/>
      <c r="C300" s="1033"/>
      <c r="D300" s="1032"/>
      <c r="E300" s="1034"/>
      <c r="F300" s="1034"/>
      <c r="G300" s="1034"/>
      <c r="H300" s="1034"/>
      <c r="I300" s="1034"/>
      <c r="J300" s="1034"/>
      <c r="K300" s="1034"/>
      <c r="L300" s="1034"/>
    </row>
    <row r="301" spans="1:12" s="1035" customFormat="1" ht="12.75">
      <c r="A301" s="1032"/>
      <c r="B301" s="1032"/>
      <c r="C301" s="1033"/>
      <c r="D301" s="1032"/>
      <c r="E301" s="1034"/>
      <c r="F301" s="1034"/>
      <c r="G301" s="1034"/>
      <c r="H301" s="1034"/>
      <c r="I301" s="1034"/>
      <c r="J301" s="1034"/>
      <c r="K301" s="1034"/>
      <c r="L301" s="1034"/>
    </row>
    <row r="302" spans="1:12" s="1035" customFormat="1" ht="12.75">
      <c r="A302" s="1032"/>
      <c r="B302" s="1032"/>
      <c r="C302" s="1033"/>
      <c r="D302" s="1032"/>
      <c r="E302" s="1034"/>
      <c r="F302" s="1034"/>
      <c r="G302" s="1034"/>
      <c r="H302" s="1034"/>
      <c r="I302" s="1034"/>
      <c r="J302" s="1034"/>
      <c r="K302" s="1034"/>
      <c r="L302" s="1034"/>
    </row>
    <row r="303" spans="1:12" s="1035" customFormat="1" ht="12.75">
      <c r="A303" s="1032"/>
      <c r="B303" s="1032"/>
      <c r="C303" s="1033"/>
      <c r="D303" s="1032"/>
      <c r="E303" s="1034"/>
      <c r="F303" s="1034"/>
      <c r="G303" s="1034"/>
      <c r="H303" s="1034"/>
      <c r="I303" s="1034"/>
      <c r="J303" s="1034"/>
      <c r="K303" s="1034"/>
      <c r="L303" s="1034"/>
    </row>
    <row r="304" spans="1:12" s="1035" customFormat="1" ht="12.75">
      <c r="A304" s="1032"/>
      <c r="B304" s="1032"/>
      <c r="C304" s="1033"/>
      <c r="D304" s="1032"/>
      <c r="E304" s="1034"/>
      <c r="F304" s="1034"/>
      <c r="G304" s="1034"/>
      <c r="H304" s="1034"/>
      <c r="I304" s="1034"/>
      <c r="J304" s="1034"/>
      <c r="K304" s="1034"/>
      <c r="L304" s="1034"/>
    </row>
    <row r="305" spans="1:12" s="1035" customFormat="1" ht="12.75">
      <c r="A305" s="1032"/>
      <c r="B305" s="1032"/>
      <c r="C305" s="1033"/>
      <c r="D305" s="1032"/>
      <c r="E305" s="1034"/>
      <c r="F305" s="1034"/>
      <c r="G305" s="1034"/>
      <c r="H305" s="1034"/>
      <c r="I305" s="1034"/>
      <c r="J305" s="1034"/>
      <c r="K305" s="1034"/>
      <c r="L305" s="1034"/>
    </row>
    <row r="306" spans="1:12" s="1035" customFormat="1" ht="12.75">
      <c r="A306" s="1032"/>
      <c r="B306" s="1032"/>
      <c r="C306" s="1033"/>
      <c r="D306" s="1032"/>
      <c r="E306" s="1034"/>
      <c r="F306" s="1034"/>
      <c r="G306" s="1034"/>
      <c r="H306" s="1034"/>
      <c r="I306" s="1034"/>
      <c r="J306" s="1034"/>
      <c r="K306" s="1034"/>
      <c r="L306" s="1034"/>
    </row>
    <row r="307" spans="1:12" s="1035" customFormat="1" ht="12.75">
      <c r="A307" s="1032"/>
      <c r="B307" s="1032"/>
      <c r="C307" s="1033"/>
      <c r="D307" s="1032"/>
      <c r="E307" s="1034"/>
      <c r="F307" s="1034"/>
      <c r="G307" s="1034"/>
      <c r="H307" s="1034"/>
      <c r="I307" s="1034"/>
      <c r="J307" s="1034"/>
      <c r="K307" s="1034"/>
      <c r="L307" s="1034"/>
    </row>
    <row r="308" spans="1:12" s="1035" customFormat="1" ht="12.75">
      <c r="A308" s="1032"/>
      <c r="B308" s="1032"/>
      <c r="C308" s="1033"/>
      <c r="D308" s="1032"/>
      <c r="E308" s="1034"/>
      <c r="F308" s="1034"/>
      <c r="G308" s="1034"/>
      <c r="H308" s="1034"/>
      <c r="I308" s="1034"/>
      <c r="J308" s="1034"/>
      <c r="K308" s="1034"/>
      <c r="L308" s="1034"/>
    </row>
    <row r="309" spans="1:12" s="1035" customFormat="1" ht="12.75">
      <c r="A309" s="1032"/>
      <c r="B309" s="1032"/>
      <c r="C309" s="1033"/>
      <c r="D309" s="1032"/>
      <c r="E309" s="1034"/>
      <c r="F309" s="1034"/>
      <c r="G309" s="1034"/>
      <c r="H309" s="1034"/>
      <c r="I309" s="1034"/>
      <c r="J309" s="1034"/>
      <c r="K309" s="1034"/>
      <c r="L309" s="1034"/>
    </row>
    <row r="310" spans="1:12" s="1035" customFormat="1" ht="12.75">
      <c r="A310" s="1032"/>
      <c r="B310" s="1032"/>
      <c r="C310" s="1033"/>
      <c r="D310" s="1032"/>
      <c r="E310" s="1034"/>
      <c r="F310" s="1034"/>
      <c r="G310" s="1034"/>
      <c r="H310" s="1034"/>
      <c r="I310" s="1034"/>
      <c r="J310" s="1034"/>
      <c r="K310" s="1034"/>
      <c r="L310" s="1034"/>
    </row>
    <row r="311" spans="1:12" s="1035" customFormat="1" ht="12.75">
      <c r="A311" s="1032"/>
      <c r="B311" s="1032"/>
      <c r="C311" s="1033"/>
      <c r="D311" s="1032"/>
      <c r="E311" s="1034"/>
      <c r="F311" s="1034"/>
      <c r="G311" s="1034"/>
      <c r="H311" s="1034"/>
      <c r="I311" s="1034"/>
      <c r="J311" s="1034"/>
      <c r="K311" s="1034"/>
      <c r="L311" s="1034"/>
    </row>
    <row r="312" spans="1:12" s="1035" customFormat="1" ht="12.75">
      <c r="A312" s="1032"/>
      <c r="B312" s="1032"/>
      <c r="C312" s="1033"/>
      <c r="D312" s="1032"/>
      <c r="E312" s="1034"/>
      <c r="F312" s="1034"/>
      <c r="G312" s="1034"/>
      <c r="H312" s="1034"/>
      <c r="I312" s="1034"/>
      <c r="J312" s="1034"/>
      <c r="K312" s="1034"/>
      <c r="L312" s="1034"/>
    </row>
    <row r="313" spans="1:12" s="1035" customFormat="1" ht="12.75">
      <c r="A313" s="1032"/>
      <c r="B313" s="1032"/>
      <c r="C313" s="1033"/>
      <c r="D313" s="1032"/>
      <c r="E313" s="1034"/>
      <c r="F313" s="1034"/>
      <c r="G313" s="1034"/>
      <c r="H313" s="1034"/>
      <c r="I313" s="1034"/>
      <c r="J313" s="1034"/>
      <c r="K313" s="1034"/>
      <c r="L313" s="1034"/>
    </row>
    <row r="314" spans="1:12" s="1035" customFormat="1" ht="12.75">
      <c r="A314" s="1032"/>
      <c r="B314" s="1032"/>
      <c r="C314" s="1033"/>
      <c r="D314" s="1032"/>
      <c r="E314" s="1034"/>
      <c r="F314" s="1034"/>
      <c r="G314" s="1034"/>
      <c r="H314" s="1034"/>
      <c r="I314" s="1034"/>
      <c r="J314" s="1034"/>
      <c r="K314" s="1034"/>
      <c r="L314" s="1034"/>
    </row>
    <row r="315" spans="1:12" s="1035" customFormat="1" ht="12.75">
      <c r="A315" s="1032"/>
      <c r="B315" s="1032"/>
      <c r="C315" s="1033"/>
      <c r="D315" s="1032"/>
      <c r="E315" s="1034"/>
      <c r="F315" s="1034"/>
      <c r="G315" s="1034"/>
      <c r="H315" s="1034"/>
      <c r="I315" s="1034"/>
      <c r="J315" s="1034"/>
      <c r="K315" s="1034"/>
      <c r="L315" s="1034"/>
    </row>
    <row r="316" spans="1:12" s="1035" customFormat="1" ht="12.75">
      <c r="A316" s="1032"/>
      <c r="B316" s="1032"/>
      <c r="C316" s="1033"/>
      <c r="D316" s="1032"/>
      <c r="E316" s="1034"/>
      <c r="F316" s="1034"/>
      <c r="G316" s="1034"/>
      <c r="H316" s="1034"/>
      <c r="I316" s="1034"/>
      <c r="J316" s="1034"/>
      <c r="K316" s="1034"/>
      <c r="L316" s="1034"/>
    </row>
    <row r="317" spans="1:12" s="1035" customFormat="1" ht="12.75">
      <c r="A317" s="1032"/>
      <c r="B317" s="1032"/>
      <c r="C317" s="1033"/>
      <c r="D317" s="1032"/>
      <c r="E317" s="1034"/>
      <c r="F317" s="1034"/>
      <c r="G317" s="1034"/>
      <c r="H317" s="1034"/>
      <c r="I317" s="1034"/>
      <c r="J317" s="1034"/>
      <c r="K317" s="1034"/>
      <c r="L317" s="1034"/>
    </row>
    <row r="318" spans="1:12" s="1035" customFormat="1" ht="12.75">
      <c r="A318" s="1032"/>
      <c r="B318" s="1032"/>
      <c r="C318" s="1033"/>
      <c r="D318" s="1032"/>
      <c r="E318" s="1034"/>
      <c r="F318" s="1034"/>
      <c r="G318" s="1034"/>
      <c r="H318" s="1034"/>
      <c r="I318" s="1034"/>
      <c r="J318" s="1034"/>
      <c r="K318" s="1034"/>
      <c r="L318" s="1034"/>
    </row>
    <row r="319" spans="1:12" s="1035" customFormat="1" ht="12.75">
      <c r="A319" s="1032"/>
      <c r="B319" s="1032"/>
      <c r="C319" s="1033"/>
      <c r="D319" s="1032"/>
      <c r="E319" s="1034"/>
      <c r="F319" s="1034"/>
      <c r="G319" s="1034"/>
      <c r="H319" s="1034"/>
      <c r="I319" s="1034"/>
      <c r="J319" s="1034"/>
      <c r="K319" s="1034"/>
      <c r="L319" s="1034"/>
    </row>
    <row r="320" spans="1:12" s="1035" customFormat="1" ht="12.75">
      <c r="A320" s="1032"/>
      <c r="B320" s="1032"/>
      <c r="C320" s="1033"/>
      <c r="D320" s="1032"/>
      <c r="E320" s="1034"/>
      <c r="F320" s="1034"/>
      <c r="G320" s="1034"/>
      <c r="H320" s="1034"/>
      <c r="I320" s="1034"/>
      <c r="J320" s="1034"/>
      <c r="K320" s="1034"/>
      <c r="L320" s="1034"/>
    </row>
    <row r="321" spans="1:12" s="1035" customFormat="1" ht="12.75">
      <c r="A321" s="1032"/>
      <c r="B321" s="1032"/>
      <c r="C321" s="1033"/>
      <c r="D321" s="1032"/>
      <c r="E321" s="1034"/>
      <c r="F321" s="1034"/>
      <c r="G321" s="1034"/>
      <c r="H321" s="1034"/>
      <c r="I321" s="1034"/>
      <c r="J321" s="1034"/>
      <c r="K321" s="1034"/>
      <c r="L321" s="1034"/>
    </row>
    <row r="322" spans="1:12" s="1035" customFormat="1" ht="12.75">
      <c r="A322" s="1032"/>
      <c r="B322" s="1032"/>
      <c r="C322" s="1033"/>
      <c r="D322" s="1032"/>
      <c r="E322" s="1034"/>
      <c r="F322" s="1034"/>
      <c r="G322" s="1034"/>
      <c r="H322" s="1034"/>
      <c r="I322" s="1034"/>
      <c r="J322" s="1034"/>
      <c r="K322" s="1034"/>
      <c r="L322" s="1034"/>
    </row>
    <row r="323" spans="1:12" s="1035" customFormat="1" ht="12.75">
      <c r="A323" s="1032"/>
      <c r="B323" s="1032"/>
      <c r="C323" s="1033"/>
      <c r="D323" s="1032"/>
      <c r="E323" s="1034"/>
      <c r="F323" s="1034"/>
      <c r="G323" s="1034"/>
      <c r="H323" s="1034"/>
      <c r="I323" s="1034"/>
      <c r="J323" s="1034"/>
      <c r="K323" s="1034"/>
      <c r="L323" s="1034"/>
    </row>
    <row r="324" spans="1:12" s="1035" customFormat="1" ht="12.75">
      <c r="A324" s="1032"/>
      <c r="B324" s="1032"/>
      <c r="C324" s="1033"/>
      <c r="D324" s="1032"/>
      <c r="E324" s="1034"/>
      <c r="F324" s="1034"/>
      <c r="G324" s="1034"/>
      <c r="H324" s="1034"/>
      <c r="I324" s="1034"/>
      <c r="J324" s="1034"/>
      <c r="K324" s="1034"/>
      <c r="L324" s="1034"/>
    </row>
    <row r="325" spans="1:12" s="1035" customFormat="1" ht="12.75">
      <c r="A325" s="1032"/>
      <c r="B325" s="1032"/>
      <c r="C325" s="1033"/>
      <c r="D325" s="1032"/>
      <c r="E325" s="1034"/>
      <c r="F325" s="1034"/>
      <c r="G325" s="1034"/>
      <c r="H325" s="1034"/>
      <c r="I325" s="1034"/>
      <c r="J325" s="1034"/>
      <c r="K325" s="1034"/>
      <c r="L325" s="1034"/>
    </row>
    <row r="326" spans="1:12" s="1035" customFormat="1" ht="12.75">
      <c r="A326" s="1032"/>
      <c r="B326" s="1032"/>
      <c r="C326" s="1033"/>
      <c r="D326" s="1032"/>
      <c r="E326" s="1034"/>
      <c r="F326" s="1034"/>
      <c r="G326" s="1034"/>
      <c r="H326" s="1034"/>
      <c r="I326" s="1034"/>
      <c r="J326" s="1034"/>
      <c r="K326" s="1034"/>
      <c r="L326" s="1034"/>
    </row>
    <row r="327" spans="1:12" s="1035" customFormat="1" ht="12.75">
      <c r="A327" s="1032"/>
      <c r="B327" s="1032"/>
      <c r="C327" s="1033"/>
      <c r="D327" s="1032"/>
      <c r="E327" s="1034"/>
      <c r="F327" s="1034"/>
      <c r="G327" s="1034"/>
      <c r="H327" s="1034"/>
      <c r="I327" s="1034"/>
      <c r="J327" s="1034"/>
      <c r="K327" s="1034"/>
      <c r="L327" s="1034"/>
    </row>
    <row r="328" spans="1:12" s="1035" customFormat="1" ht="12.75">
      <c r="A328" s="1032"/>
      <c r="B328" s="1032"/>
      <c r="C328" s="1033"/>
      <c r="D328" s="1032"/>
      <c r="E328" s="1034"/>
      <c r="F328" s="1034"/>
      <c r="G328" s="1034"/>
      <c r="H328" s="1034"/>
      <c r="I328" s="1034"/>
      <c r="J328" s="1034"/>
      <c r="K328" s="1034"/>
      <c r="L328" s="1034"/>
    </row>
    <row r="329" spans="1:12" s="1035" customFormat="1" ht="12.75">
      <c r="A329" s="1032"/>
      <c r="B329" s="1032"/>
      <c r="C329" s="1033"/>
      <c r="D329" s="1032"/>
      <c r="E329" s="1034"/>
      <c r="F329" s="1034"/>
      <c r="G329" s="1034"/>
      <c r="H329" s="1034"/>
      <c r="I329" s="1034"/>
      <c r="J329" s="1034"/>
      <c r="K329" s="1034"/>
      <c r="L329" s="1034"/>
    </row>
    <row r="330" spans="1:12" s="1035" customFormat="1" ht="12.75">
      <c r="A330" s="1032"/>
      <c r="B330" s="1032"/>
      <c r="C330" s="1033"/>
      <c r="D330" s="1032"/>
      <c r="E330" s="1034"/>
      <c r="F330" s="1034"/>
      <c r="G330" s="1034"/>
      <c r="H330" s="1034"/>
      <c r="I330" s="1034"/>
      <c r="J330" s="1034"/>
      <c r="K330" s="1034"/>
      <c r="L330" s="1034"/>
    </row>
    <row r="331" spans="1:12" s="1035" customFormat="1" ht="12.75">
      <c r="A331" s="1032"/>
      <c r="B331" s="1032"/>
      <c r="C331" s="1033"/>
      <c r="D331" s="1032"/>
      <c r="E331" s="1034"/>
      <c r="F331" s="1034"/>
      <c r="G331" s="1034"/>
      <c r="H331" s="1034"/>
      <c r="I331" s="1034"/>
      <c r="J331" s="1034"/>
      <c r="K331" s="1034"/>
      <c r="L331" s="1034"/>
    </row>
    <row r="332" spans="1:12" s="1035" customFormat="1" ht="12.75">
      <c r="A332" s="1032"/>
      <c r="B332" s="1032"/>
      <c r="C332" s="1033"/>
      <c r="D332" s="1032"/>
      <c r="E332" s="1034"/>
      <c r="F332" s="1034"/>
      <c r="G332" s="1034"/>
      <c r="H332" s="1034"/>
      <c r="I332" s="1034"/>
      <c r="J332" s="1034"/>
      <c r="K332" s="1034"/>
      <c r="L332" s="1034"/>
    </row>
    <row r="333" spans="1:12" s="1035" customFormat="1" ht="12.75">
      <c r="A333" s="1032"/>
      <c r="B333" s="1032"/>
      <c r="C333" s="1033"/>
      <c r="D333" s="1032"/>
      <c r="E333" s="1034"/>
      <c r="F333" s="1034"/>
      <c r="G333" s="1034"/>
      <c r="H333" s="1034"/>
      <c r="I333" s="1034"/>
      <c r="J333" s="1034"/>
      <c r="K333" s="1034"/>
      <c r="L333" s="1034"/>
    </row>
    <row r="334" spans="1:12" s="1035" customFormat="1" ht="12.75">
      <c r="A334" s="1032"/>
      <c r="B334" s="1032"/>
      <c r="C334" s="1033"/>
      <c r="D334" s="1032"/>
      <c r="E334" s="1034"/>
      <c r="F334" s="1034"/>
      <c r="G334" s="1034"/>
      <c r="H334" s="1034"/>
      <c r="I334" s="1034"/>
      <c r="J334" s="1034"/>
      <c r="K334" s="1034"/>
      <c r="L334" s="1034"/>
    </row>
    <row r="335" spans="1:12" s="1035" customFormat="1" ht="12.75">
      <c r="A335" s="1032"/>
      <c r="B335" s="1032"/>
      <c r="C335" s="1033"/>
      <c r="D335" s="1032"/>
      <c r="E335" s="1034"/>
      <c r="F335" s="1034"/>
      <c r="G335" s="1034"/>
      <c r="H335" s="1034"/>
      <c r="I335" s="1034"/>
      <c r="J335" s="1034"/>
      <c r="K335" s="1034"/>
      <c r="L335" s="1034"/>
    </row>
    <row r="336" spans="1:12" s="1035" customFormat="1" ht="12.75">
      <c r="A336" s="1032"/>
      <c r="B336" s="1032"/>
      <c r="C336" s="1033"/>
      <c r="D336" s="1032"/>
      <c r="E336" s="1034"/>
      <c r="F336" s="1034"/>
      <c r="G336" s="1034"/>
      <c r="H336" s="1034"/>
      <c r="I336" s="1034"/>
      <c r="J336" s="1034"/>
      <c r="K336" s="1034"/>
      <c r="L336" s="1034"/>
    </row>
    <row r="337" spans="1:12" s="1035" customFormat="1" ht="12.75">
      <c r="A337" s="1032"/>
      <c r="B337" s="1032"/>
      <c r="C337" s="1033"/>
      <c r="D337" s="1032"/>
      <c r="E337" s="1034"/>
      <c r="F337" s="1034"/>
      <c r="G337" s="1034"/>
      <c r="H337" s="1034"/>
      <c r="I337" s="1034"/>
      <c r="J337" s="1034"/>
      <c r="K337" s="1034"/>
      <c r="L337" s="1034"/>
    </row>
    <row r="338" spans="1:12" s="1035" customFormat="1" ht="12.75">
      <c r="A338" s="1032"/>
      <c r="B338" s="1032"/>
      <c r="C338" s="1033"/>
      <c r="D338" s="1032"/>
      <c r="E338" s="1034"/>
      <c r="F338" s="1034"/>
      <c r="G338" s="1034"/>
      <c r="H338" s="1034"/>
      <c r="I338" s="1034"/>
      <c r="J338" s="1034"/>
      <c r="K338" s="1034"/>
      <c r="L338" s="1034"/>
    </row>
    <row r="339" spans="1:12" s="1035" customFormat="1" ht="12.75">
      <c r="A339" s="1032"/>
      <c r="B339" s="1032"/>
      <c r="C339" s="1033"/>
      <c r="D339" s="1032"/>
      <c r="E339" s="1034"/>
      <c r="F339" s="1034"/>
      <c r="G339" s="1034"/>
      <c r="H339" s="1034"/>
      <c r="I339" s="1034"/>
      <c r="J339" s="1034"/>
      <c r="K339" s="1034"/>
      <c r="L339" s="1034"/>
    </row>
    <row r="340" spans="1:12" s="1035" customFormat="1" ht="12.75">
      <c r="A340" s="1032"/>
      <c r="B340" s="1032"/>
      <c r="C340" s="1033"/>
      <c r="D340" s="1032"/>
      <c r="E340" s="1034"/>
      <c r="F340" s="1034"/>
      <c r="G340" s="1034"/>
      <c r="H340" s="1034"/>
      <c r="I340" s="1034"/>
      <c r="J340" s="1034"/>
      <c r="K340" s="1034"/>
      <c r="L340" s="1034"/>
    </row>
    <row r="341" spans="1:12" s="1035" customFormat="1" ht="12.75">
      <c r="A341" s="1032"/>
      <c r="B341" s="1032"/>
      <c r="C341" s="1033"/>
      <c r="D341" s="1032"/>
      <c r="E341" s="1034"/>
      <c r="F341" s="1034"/>
      <c r="G341" s="1034"/>
      <c r="H341" s="1034"/>
      <c r="I341" s="1034"/>
      <c r="J341" s="1034"/>
      <c r="K341" s="1034"/>
      <c r="L341" s="1034"/>
    </row>
    <row r="342" spans="1:12" s="1035" customFormat="1" ht="12.75">
      <c r="A342" s="1032"/>
      <c r="B342" s="1032"/>
      <c r="C342" s="1033"/>
      <c r="D342" s="1032"/>
      <c r="E342" s="1034"/>
      <c r="F342" s="1034"/>
      <c r="G342" s="1034"/>
      <c r="H342" s="1034"/>
      <c r="I342" s="1034"/>
      <c r="J342" s="1034"/>
      <c r="K342" s="1034"/>
      <c r="L342" s="1034"/>
    </row>
    <row r="343" spans="1:12" s="1035" customFormat="1" ht="12.75">
      <c r="A343" s="1032"/>
      <c r="B343" s="1032"/>
      <c r="C343" s="1033"/>
      <c r="D343" s="1032"/>
      <c r="E343" s="1034"/>
      <c r="F343" s="1034"/>
      <c r="G343" s="1034"/>
      <c r="H343" s="1034"/>
      <c r="I343" s="1034"/>
      <c r="J343" s="1034"/>
      <c r="K343" s="1034"/>
      <c r="L343" s="1034"/>
    </row>
    <row r="344" spans="1:12" s="1035" customFormat="1" ht="12.75">
      <c r="A344" s="1032"/>
      <c r="B344" s="1032"/>
      <c r="C344" s="1033"/>
      <c r="D344" s="1032"/>
      <c r="E344" s="1034"/>
      <c r="F344" s="1034"/>
      <c r="G344" s="1034"/>
      <c r="H344" s="1034"/>
      <c r="I344" s="1034"/>
      <c r="J344" s="1034"/>
      <c r="K344" s="1034"/>
      <c r="L344" s="1034"/>
    </row>
    <row r="345" spans="1:12" s="1035" customFormat="1" ht="12.75">
      <c r="A345" s="1032"/>
      <c r="B345" s="1032"/>
      <c r="C345" s="1033"/>
      <c r="D345" s="1032"/>
      <c r="E345" s="1034"/>
      <c r="F345" s="1034"/>
      <c r="G345" s="1034"/>
      <c r="H345" s="1034"/>
      <c r="I345" s="1034"/>
      <c r="J345" s="1034"/>
      <c r="K345" s="1034"/>
      <c r="L345" s="1034"/>
    </row>
    <row r="346" spans="1:12" s="1035" customFormat="1" ht="12.75">
      <c r="A346" s="1032"/>
      <c r="B346" s="1032"/>
      <c r="C346" s="1033"/>
      <c r="D346" s="1032"/>
      <c r="E346" s="1034"/>
      <c r="F346" s="1034"/>
      <c r="G346" s="1034"/>
      <c r="H346" s="1034"/>
      <c r="I346" s="1034"/>
      <c r="J346" s="1034"/>
      <c r="K346" s="1034"/>
      <c r="L346" s="1034"/>
    </row>
    <row r="347" spans="1:12" s="1035" customFormat="1" ht="12.75">
      <c r="A347" s="1032"/>
      <c r="B347" s="1032"/>
      <c r="C347" s="1033"/>
      <c r="D347" s="1032"/>
      <c r="E347" s="1034"/>
      <c r="F347" s="1034"/>
      <c r="G347" s="1034"/>
      <c r="H347" s="1034"/>
      <c r="I347" s="1034"/>
      <c r="J347" s="1034"/>
      <c r="K347" s="1034"/>
      <c r="L347" s="1034"/>
    </row>
    <row r="348" spans="1:12" s="1035" customFormat="1" ht="12.75">
      <c r="A348" s="1032"/>
      <c r="B348" s="1032"/>
      <c r="C348" s="1033"/>
      <c r="D348" s="1032"/>
      <c r="E348" s="1034"/>
      <c r="F348" s="1034"/>
      <c r="G348" s="1034"/>
      <c r="H348" s="1034"/>
      <c r="I348" s="1034"/>
      <c r="J348" s="1034"/>
      <c r="K348" s="1034"/>
      <c r="L348" s="1034"/>
    </row>
    <row r="349" spans="1:12" s="1035" customFormat="1" ht="12.75">
      <c r="A349" s="1032"/>
      <c r="B349" s="1032"/>
      <c r="C349" s="1033"/>
      <c r="D349" s="1032"/>
      <c r="E349" s="1034"/>
      <c r="F349" s="1034"/>
      <c r="G349" s="1034"/>
      <c r="H349" s="1034"/>
      <c r="I349" s="1034"/>
      <c r="J349" s="1034"/>
      <c r="K349" s="1034"/>
      <c r="L349" s="1034"/>
    </row>
    <row r="350" spans="1:12" s="1035" customFormat="1" ht="12.75">
      <c r="A350" s="1032"/>
      <c r="B350" s="1032"/>
      <c r="C350" s="1033"/>
      <c r="D350" s="1032"/>
      <c r="E350" s="1034"/>
      <c r="F350" s="1034"/>
      <c r="G350" s="1034"/>
      <c r="H350" s="1034"/>
      <c r="I350" s="1034"/>
      <c r="J350" s="1034"/>
      <c r="K350" s="1034"/>
      <c r="L350" s="1034"/>
    </row>
    <row r="351" spans="1:12" s="1035" customFormat="1" ht="12.75">
      <c r="A351" s="1032"/>
      <c r="B351" s="1032"/>
      <c r="C351" s="1033"/>
      <c r="D351" s="1032"/>
      <c r="E351" s="1034"/>
      <c r="F351" s="1034"/>
      <c r="G351" s="1034"/>
      <c r="H351" s="1034"/>
      <c r="I351" s="1034"/>
      <c r="J351" s="1034"/>
      <c r="K351" s="1034"/>
      <c r="L351" s="1034"/>
    </row>
    <row r="352" spans="1:12" s="1035" customFormat="1" ht="12.75">
      <c r="A352" s="1032"/>
      <c r="B352" s="1032"/>
      <c r="C352" s="1033"/>
      <c r="D352" s="1032"/>
      <c r="E352" s="1034"/>
      <c r="F352" s="1034"/>
      <c r="G352" s="1034"/>
      <c r="H352" s="1034"/>
      <c r="I352" s="1034"/>
      <c r="J352" s="1034"/>
      <c r="K352" s="1034"/>
      <c r="L352" s="1034"/>
    </row>
    <row r="353" spans="1:12" s="1035" customFormat="1" ht="12.75">
      <c r="A353" s="1032"/>
      <c r="B353" s="1032"/>
      <c r="C353" s="1033"/>
      <c r="D353" s="1032"/>
      <c r="E353" s="1034"/>
      <c r="F353" s="1034"/>
      <c r="G353" s="1034"/>
      <c r="H353" s="1034"/>
      <c r="I353" s="1034"/>
      <c r="J353" s="1034"/>
      <c r="K353" s="1034"/>
      <c r="L353" s="1034"/>
    </row>
    <row r="354" spans="1:12" s="1035" customFormat="1" ht="12.75">
      <c r="A354" s="1032"/>
      <c r="B354" s="1032"/>
      <c r="C354" s="1033"/>
      <c r="D354" s="1032"/>
      <c r="E354" s="1034"/>
      <c r="F354" s="1034"/>
      <c r="G354" s="1034"/>
      <c r="H354" s="1034"/>
      <c r="I354" s="1034"/>
      <c r="J354" s="1034"/>
      <c r="K354" s="1034"/>
      <c r="L354" s="1034"/>
    </row>
    <row r="355" spans="1:12" s="1035" customFormat="1" ht="12.75">
      <c r="A355" s="1032"/>
      <c r="B355" s="1032"/>
      <c r="C355" s="1033"/>
      <c r="D355" s="1032"/>
      <c r="E355" s="1034"/>
      <c r="F355" s="1034"/>
      <c r="G355" s="1034"/>
      <c r="H355" s="1034"/>
      <c r="I355" s="1034"/>
      <c r="J355" s="1034"/>
      <c r="K355" s="1034"/>
      <c r="L355" s="1034"/>
    </row>
    <row r="356" spans="1:12" s="1035" customFormat="1" ht="12.75">
      <c r="A356" s="1032"/>
      <c r="B356" s="1032"/>
      <c r="C356" s="1033"/>
      <c r="D356" s="1032"/>
      <c r="E356" s="1034"/>
      <c r="F356" s="1034"/>
      <c r="G356" s="1034"/>
      <c r="H356" s="1034"/>
      <c r="I356" s="1034"/>
      <c r="J356" s="1034"/>
      <c r="K356" s="1034"/>
      <c r="L356" s="1034"/>
    </row>
    <row r="357" spans="1:12" s="1035" customFormat="1" ht="12.75">
      <c r="A357" s="1032"/>
      <c r="B357" s="1032"/>
      <c r="C357" s="1033"/>
      <c r="D357" s="1032"/>
      <c r="E357" s="1034"/>
      <c r="F357" s="1034"/>
      <c r="G357" s="1034"/>
      <c r="H357" s="1034"/>
      <c r="I357" s="1034"/>
      <c r="J357" s="1034"/>
      <c r="K357" s="1034"/>
      <c r="L357" s="1034"/>
    </row>
    <row r="358" spans="1:12" s="1035" customFormat="1" ht="12.75">
      <c r="A358" s="1032"/>
      <c r="B358" s="1032"/>
      <c r="C358" s="1033"/>
      <c r="D358" s="1032"/>
      <c r="E358" s="1034"/>
      <c r="F358" s="1034"/>
      <c r="G358" s="1034"/>
      <c r="H358" s="1034"/>
      <c r="I358" s="1034"/>
      <c r="J358" s="1034"/>
      <c r="K358" s="1034"/>
      <c r="L358" s="1034"/>
    </row>
    <row r="359" spans="1:12" s="1035" customFormat="1" ht="12.75">
      <c r="A359" s="1032"/>
      <c r="B359" s="1032"/>
      <c r="C359" s="1033"/>
      <c r="D359" s="1032"/>
      <c r="E359" s="1034"/>
      <c r="F359" s="1034"/>
      <c r="G359" s="1034"/>
      <c r="H359" s="1034"/>
      <c r="I359" s="1034"/>
      <c r="J359" s="1034"/>
      <c r="K359" s="1034"/>
      <c r="L359" s="1034"/>
    </row>
    <row r="360" spans="1:12" s="1035" customFormat="1" ht="12.75">
      <c r="A360" s="1032"/>
      <c r="B360" s="1032"/>
      <c r="C360" s="1033"/>
      <c r="D360" s="1032"/>
      <c r="E360" s="1034"/>
      <c r="F360" s="1034"/>
      <c r="G360" s="1034"/>
      <c r="H360" s="1034"/>
      <c r="I360" s="1034"/>
      <c r="J360" s="1034"/>
      <c r="K360" s="1034"/>
      <c r="L360" s="1034"/>
    </row>
    <row r="361" spans="1:12" s="1035" customFormat="1" ht="12.75">
      <c r="A361" s="1032"/>
      <c r="B361" s="1032"/>
      <c r="C361" s="1033"/>
      <c r="D361" s="1032"/>
      <c r="E361" s="1034"/>
      <c r="F361" s="1034"/>
      <c r="G361" s="1034"/>
      <c r="H361" s="1034"/>
      <c r="I361" s="1034"/>
      <c r="J361" s="1034"/>
      <c r="K361" s="1034"/>
      <c r="L361" s="1034"/>
    </row>
    <row r="362" spans="1:12" s="1035" customFormat="1" ht="12.75">
      <c r="A362" s="1032"/>
      <c r="B362" s="1032"/>
      <c r="C362" s="1033"/>
      <c r="D362" s="1032"/>
      <c r="E362" s="1034"/>
      <c r="F362" s="1034"/>
      <c r="G362" s="1034"/>
      <c r="H362" s="1034"/>
      <c r="I362" s="1034"/>
      <c r="J362" s="1034"/>
      <c r="K362" s="1034"/>
      <c r="L362" s="1034"/>
    </row>
    <row r="363" spans="1:12" s="1035" customFormat="1" ht="12.75">
      <c r="A363" s="1032"/>
      <c r="B363" s="1032"/>
      <c r="C363" s="1033"/>
      <c r="D363" s="1032"/>
      <c r="E363" s="1034"/>
      <c r="F363" s="1034"/>
      <c r="G363" s="1034"/>
      <c r="H363" s="1034"/>
      <c r="I363" s="1034"/>
      <c r="J363" s="1034"/>
      <c r="K363" s="1034"/>
      <c r="L363" s="1034"/>
    </row>
    <row r="364" spans="1:12" s="1035" customFormat="1" ht="12.75">
      <c r="A364" s="1032"/>
      <c r="B364" s="1032"/>
      <c r="C364" s="1033"/>
      <c r="D364" s="1032"/>
      <c r="E364" s="1034"/>
      <c r="F364" s="1034"/>
      <c r="G364" s="1034"/>
      <c r="H364" s="1034"/>
      <c r="I364" s="1034"/>
      <c r="J364" s="1034"/>
      <c r="K364" s="1034"/>
      <c r="L364" s="1034"/>
    </row>
    <row r="365" spans="1:12" s="1035" customFormat="1" ht="12.75">
      <c r="A365" s="1032"/>
      <c r="B365" s="1032"/>
      <c r="C365" s="1033"/>
      <c r="D365" s="1032"/>
      <c r="E365" s="1034"/>
      <c r="F365" s="1034"/>
      <c r="G365" s="1034"/>
      <c r="H365" s="1034"/>
      <c r="I365" s="1034"/>
      <c r="J365" s="1034"/>
      <c r="K365" s="1034"/>
      <c r="L365" s="1034"/>
    </row>
    <row r="366" spans="1:12" s="1035" customFormat="1" ht="12.75">
      <c r="A366" s="1032"/>
      <c r="B366" s="1032"/>
      <c r="C366" s="1033"/>
      <c r="D366" s="1032"/>
      <c r="E366" s="1034"/>
      <c r="F366" s="1034"/>
      <c r="G366" s="1034"/>
      <c r="H366" s="1034"/>
      <c r="I366" s="1034"/>
      <c r="J366" s="1034"/>
      <c r="K366" s="1034"/>
      <c r="L366" s="1034"/>
    </row>
    <row r="367" spans="1:12" s="1035" customFormat="1" ht="12.75">
      <c r="A367" s="1032"/>
      <c r="B367" s="1032"/>
      <c r="C367" s="1033"/>
      <c r="D367" s="1032"/>
      <c r="E367" s="1034"/>
      <c r="F367" s="1034"/>
      <c r="G367" s="1034"/>
      <c r="H367" s="1034"/>
      <c r="I367" s="1034"/>
      <c r="J367" s="1034"/>
      <c r="K367" s="1034"/>
      <c r="L367" s="1034"/>
    </row>
    <row r="368" spans="1:12" s="1035" customFormat="1" ht="12.75">
      <c r="A368" s="1032"/>
      <c r="B368" s="1032"/>
      <c r="C368" s="1033"/>
      <c r="D368" s="1032"/>
      <c r="E368" s="1034"/>
      <c r="F368" s="1034"/>
      <c r="G368" s="1034"/>
      <c r="H368" s="1034"/>
      <c r="I368" s="1034"/>
      <c r="J368" s="1034"/>
      <c r="K368" s="1034"/>
      <c r="L368" s="1034"/>
    </row>
    <row r="369" spans="1:12" s="1035" customFormat="1" ht="12.75">
      <c r="A369" s="1032"/>
      <c r="B369" s="1032"/>
      <c r="C369" s="1033"/>
      <c r="D369" s="1032"/>
      <c r="E369" s="1034"/>
      <c r="F369" s="1034"/>
      <c r="G369" s="1034"/>
      <c r="H369" s="1034"/>
      <c r="I369" s="1034"/>
      <c r="J369" s="1034"/>
      <c r="K369" s="1034"/>
      <c r="L369" s="1034"/>
    </row>
    <row r="370" spans="1:12" s="1035" customFormat="1" ht="12.75">
      <c r="A370" s="1032"/>
      <c r="B370" s="1032"/>
      <c r="C370" s="1033"/>
      <c r="D370" s="1032"/>
      <c r="E370" s="1034"/>
      <c r="F370" s="1034"/>
      <c r="G370" s="1034"/>
      <c r="H370" s="1034"/>
      <c r="I370" s="1034"/>
      <c r="J370" s="1034"/>
      <c r="K370" s="1034"/>
      <c r="L370" s="1034"/>
    </row>
    <row r="371" spans="1:12" s="1035" customFormat="1" ht="12.75">
      <c r="A371" s="1032"/>
      <c r="B371" s="1032"/>
      <c r="C371" s="1033"/>
      <c r="D371" s="1032"/>
      <c r="E371" s="1034"/>
      <c r="F371" s="1034"/>
      <c r="G371" s="1034"/>
      <c r="H371" s="1034"/>
      <c r="I371" s="1034"/>
      <c r="J371" s="1034"/>
      <c r="K371" s="1034"/>
      <c r="L371" s="1034"/>
    </row>
    <row r="372" spans="1:12" s="1035" customFormat="1" ht="12.75">
      <c r="A372" s="1032"/>
      <c r="B372" s="1032"/>
      <c r="C372" s="1033"/>
      <c r="D372" s="1032"/>
      <c r="E372" s="1034"/>
      <c r="F372" s="1034"/>
      <c r="G372" s="1034"/>
      <c r="H372" s="1034"/>
      <c r="I372" s="1034"/>
      <c r="J372" s="1034"/>
      <c r="K372" s="1034"/>
      <c r="L372" s="1034"/>
    </row>
    <row r="373" spans="1:12" s="1035" customFormat="1" ht="12.75">
      <c r="A373" s="1032"/>
      <c r="B373" s="1032"/>
      <c r="C373" s="1033"/>
      <c r="D373" s="1032"/>
      <c r="E373" s="1034"/>
      <c r="F373" s="1034"/>
      <c r="G373" s="1034"/>
      <c r="H373" s="1034"/>
      <c r="I373" s="1034"/>
      <c r="J373" s="1034"/>
      <c r="K373" s="1034"/>
      <c r="L373" s="1034"/>
    </row>
    <row r="374" spans="1:12" s="1035" customFormat="1" ht="12.75">
      <c r="A374" s="1032"/>
      <c r="B374" s="1032"/>
      <c r="C374" s="1033"/>
      <c r="D374" s="1032"/>
      <c r="E374" s="1034"/>
      <c r="F374" s="1034"/>
      <c r="G374" s="1034"/>
      <c r="H374" s="1034"/>
      <c r="I374" s="1034"/>
      <c r="J374" s="1034"/>
      <c r="K374" s="1034"/>
      <c r="L374" s="1034"/>
    </row>
    <row r="375" spans="1:12" s="1035" customFormat="1" ht="12.75">
      <c r="A375" s="1032"/>
      <c r="B375" s="1032"/>
      <c r="C375" s="1033"/>
      <c r="D375" s="1032"/>
      <c r="E375" s="1034"/>
      <c r="F375" s="1034"/>
      <c r="G375" s="1034"/>
      <c r="H375" s="1034"/>
      <c r="I375" s="1034"/>
      <c r="J375" s="1034"/>
      <c r="K375" s="1034"/>
      <c r="L375" s="1034"/>
    </row>
    <row r="376" spans="1:12" s="1035" customFormat="1" ht="12.75">
      <c r="A376" s="1032"/>
      <c r="B376" s="1032"/>
      <c r="C376" s="1033"/>
      <c r="D376" s="1032"/>
      <c r="E376" s="1034"/>
      <c r="F376" s="1034"/>
      <c r="G376" s="1034"/>
      <c r="H376" s="1034"/>
      <c r="I376" s="1034"/>
      <c r="J376" s="1034"/>
      <c r="K376" s="1034"/>
      <c r="L376" s="1034"/>
    </row>
    <row r="377" spans="1:12" s="1035" customFormat="1" ht="12.75">
      <c r="A377" s="1032"/>
      <c r="B377" s="1032"/>
      <c r="C377" s="1033"/>
      <c r="D377" s="1032"/>
      <c r="E377" s="1034"/>
      <c r="F377" s="1034"/>
      <c r="G377" s="1034"/>
      <c r="H377" s="1034"/>
      <c r="I377" s="1034"/>
      <c r="J377" s="1034"/>
      <c r="K377" s="1034"/>
      <c r="L377" s="1034"/>
    </row>
    <row r="378" spans="1:12" s="1035" customFormat="1" ht="12.75">
      <c r="A378" s="1032"/>
      <c r="B378" s="1032"/>
      <c r="C378" s="1033"/>
      <c r="D378" s="1032"/>
      <c r="E378" s="1034"/>
      <c r="F378" s="1034"/>
      <c r="G378" s="1034"/>
      <c r="H378" s="1034"/>
      <c r="I378" s="1034"/>
      <c r="J378" s="1034"/>
      <c r="K378" s="1034"/>
      <c r="L378" s="1034"/>
    </row>
    <row r="379" spans="1:12" s="1035" customFormat="1" ht="12.75">
      <c r="A379" s="1032"/>
      <c r="B379" s="1032"/>
      <c r="C379" s="1033"/>
      <c r="D379" s="1032"/>
      <c r="E379" s="1034"/>
      <c r="F379" s="1034"/>
      <c r="G379" s="1034"/>
      <c r="H379" s="1034"/>
      <c r="I379" s="1034"/>
      <c r="J379" s="1034"/>
      <c r="K379" s="1034"/>
      <c r="L379" s="1034"/>
    </row>
    <row r="380" spans="1:12" s="1035" customFormat="1" ht="12.75">
      <c r="A380" s="1032"/>
      <c r="B380" s="1032"/>
      <c r="C380" s="1033"/>
      <c r="D380" s="1032"/>
      <c r="E380" s="1034"/>
      <c r="F380" s="1034"/>
      <c r="G380" s="1034"/>
      <c r="H380" s="1034"/>
      <c r="I380" s="1034"/>
      <c r="J380" s="1034"/>
      <c r="K380" s="1034"/>
      <c r="L380" s="1034"/>
    </row>
    <row r="381" spans="1:12" s="1035" customFormat="1" ht="12.75">
      <c r="A381" s="1032"/>
      <c r="B381" s="1032"/>
      <c r="C381" s="1033"/>
      <c r="D381" s="1032"/>
      <c r="E381" s="1034"/>
      <c r="F381" s="1034"/>
      <c r="G381" s="1034"/>
      <c r="H381" s="1034"/>
      <c r="I381" s="1034"/>
      <c r="J381" s="1034"/>
      <c r="K381" s="1034"/>
      <c r="L381" s="1034"/>
    </row>
    <row r="382" spans="1:12" s="1035" customFormat="1" ht="12.75">
      <c r="A382" s="1032"/>
      <c r="B382" s="1032"/>
      <c r="C382" s="1033"/>
      <c r="D382" s="1032"/>
      <c r="E382" s="1034"/>
      <c r="F382" s="1034"/>
      <c r="G382" s="1034"/>
      <c r="H382" s="1034"/>
      <c r="I382" s="1034"/>
      <c r="J382" s="1034"/>
      <c r="K382" s="1034"/>
      <c r="L382" s="1034"/>
    </row>
    <row r="383" spans="1:12" s="1035" customFormat="1" ht="12.75">
      <c r="A383" s="1032"/>
      <c r="B383" s="1032"/>
      <c r="C383" s="1033"/>
      <c r="D383" s="1032"/>
      <c r="E383" s="1034"/>
      <c r="F383" s="1034"/>
      <c r="G383" s="1034"/>
      <c r="H383" s="1034"/>
      <c r="I383" s="1034"/>
      <c r="J383" s="1034"/>
      <c r="K383" s="1034"/>
      <c r="L383" s="1034"/>
    </row>
    <row r="384" spans="1:12" s="1035" customFormat="1" ht="12.75">
      <c r="A384" s="1032"/>
      <c r="B384" s="1032"/>
      <c r="C384" s="1033"/>
      <c r="D384" s="1032"/>
      <c r="E384" s="1034"/>
      <c r="F384" s="1034"/>
      <c r="G384" s="1034"/>
      <c r="H384" s="1034"/>
      <c r="I384" s="1034"/>
      <c r="J384" s="1034"/>
      <c r="K384" s="1034"/>
      <c r="L384" s="1034"/>
    </row>
    <row r="385" spans="1:12" s="1035" customFormat="1" ht="12.75">
      <c r="A385" s="1032"/>
      <c r="B385" s="1032"/>
      <c r="C385" s="1033"/>
      <c r="D385" s="1032"/>
      <c r="E385" s="1034"/>
      <c r="F385" s="1034"/>
      <c r="G385" s="1034"/>
      <c r="H385" s="1034"/>
      <c r="I385" s="1034"/>
      <c r="J385" s="1034"/>
      <c r="K385" s="1034"/>
      <c r="L385" s="1034"/>
    </row>
    <row r="386" spans="1:12" s="1035" customFormat="1" ht="12.75">
      <c r="A386" s="1032"/>
      <c r="B386" s="1032"/>
      <c r="C386" s="1033"/>
      <c r="D386" s="1032"/>
      <c r="E386" s="1034"/>
      <c r="F386" s="1034"/>
      <c r="G386" s="1034"/>
      <c r="H386" s="1034"/>
      <c r="I386" s="1034"/>
      <c r="J386" s="1034"/>
      <c r="K386" s="1034"/>
      <c r="L386" s="1034"/>
    </row>
    <row r="387" spans="1:12" s="1035" customFormat="1" ht="12.75">
      <c r="A387" s="1032"/>
      <c r="B387" s="1032"/>
      <c r="C387" s="1033"/>
      <c r="D387" s="1032"/>
      <c r="E387" s="1034"/>
      <c r="F387" s="1034"/>
      <c r="G387" s="1034"/>
      <c r="H387" s="1034"/>
      <c r="I387" s="1034"/>
      <c r="J387" s="1034"/>
      <c r="K387" s="1034"/>
      <c r="L387" s="1034"/>
    </row>
    <row r="388" spans="1:12" s="1035" customFormat="1" ht="12.75">
      <c r="A388" s="1032"/>
      <c r="B388" s="1032"/>
      <c r="C388" s="1033"/>
      <c r="D388" s="1032"/>
      <c r="E388" s="1034"/>
      <c r="F388" s="1034"/>
      <c r="G388" s="1034"/>
      <c r="H388" s="1034"/>
      <c r="I388" s="1034"/>
      <c r="J388" s="1034"/>
      <c r="K388" s="1034"/>
      <c r="L388" s="1034"/>
    </row>
    <row r="389" spans="1:12" s="1035" customFormat="1" ht="12.75">
      <c r="A389" s="1032"/>
      <c r="B389" s="1032"/>
      <c r="C389" s="1033"/>
      <c r="D389" s="1032"/>
      <c r="E389" s="1034"/>
      <c r="F389" s="1034"/>
      <c r="G389" s="1034"/>
      <c r="H389" s="1034"/>
      <c r="I389" s="1034"/>
      <c r="J389" s="1034"/>
      <c r="K389" s="1034"/>
      <c r="L389" s="1034"/>
    </row>
    <row r="390" spans="1:12" s="1035" customFormat="1" ht="12.75">
      <c r="A390" s="1032"/>
      <c r="B390" s="1032"/>
      <c r="C390" s="1033"/>
      <c r="D390" s="1032"/>
      <c r="E390" s="1034"/>
      <c r="F390" s="1034"/>
      <c r="G390" s="1034"/>
      <c r="H390" s="1034"/>
      <c r="I390" s="1034"/>
      <c r="J390" s="1034"/>
      <c r="K390" s="1034"/>
      <c r="L390" s="1034"/>
    </row>
    <row r="391" spans="1:12" s="1035" customFormat="1" ht="12.75">
      <c r="A391" s="1032"/>
      <c r="B391" s="1032"/>
      <c r="C391" s="1033"/>
      <c r="D391" s="1032"/>
      <c r="E391" s="1034"/>
      <c r="F391" s="1034"/>
      <c r="G391" s="1034"/>
      <c r="H391" s="1034"/>
      <c r="I391" s="1034"/>
      <c r="J391" s="1034"/>
      <c r="K391" s="1034"/>
      <c r="L391" s="1034"/>
    </row>
    <row r="392" spans="1:12" s="1035" customFormat="1" ht="12.75">
      <c r="A392" s="1032"/>
      <c r="B392" s="1032"/>
      <c r="C392" s="1033"/>
      <c r="D392" s="1032"/>
      <c r="E392" s="1034"/>
      <c r="F392" s="1034"/>
      <c r="G392" s="1034"/>
      <c r="H392" s="1034"/>
      <c r="I392" s="1034"/>
      <c r="J392" s="1034"/>
      <c r="K392" s="1034"/>
      <c r="L392" s="1034"/>
    </row>
    <row r="393" spans="1:12" s="1035" customFormat="1" ht="12.75">
      <c r="A393" s="1032"/>
      <c r="B393" s="1032"/>
      <c r="C393" s="1033"/>
      <c r="D393" s="1032"/>
      <c r="E393" s="1034"/>
      <c r="F393" s="1034"/>
      <c r="G393" s="1034"/>
      <c r="H393" s="1034"/>
      <c r="I393" s="1034"/>
      <c r="J393" s="1034"/>
      <c r="K393" s="1034"/>
      <c r="L393" s="1034"/>
    </row>
    <row r="394" spans="1:12" s="1035" customFormat="1" ht="12.75">
      <c r="A394" s="1032"/>
      <c r="B394" s="1032"/>
      <c r="C394" s="1033"/>
      <c r="D394" s="1032"/>
      <c r="E394" s="1034"/>
      <c r="F394" s="1034"/>
      <c r="G394" s="1034"/>
      <c r="H394" s="1034"/>
      <c r="I394" s="1034"/>
      <c r="J394" s="1034"/>
      <c r="K394" s="1034"/>
      <c r="L394" s="1034"/>
    </row>
    <row r="395" spans="1:12" s="1035" customFormat="1" ht="12.75">
      <c r="A395" s="1032"/>
      <c r="B395" s="1032"/>
      <c r="C395" s="1033"/>
      <c r="D395" s="1032"/>
      <c r="E395" s="1034"/>
      <c r="F395" s="1034"/>
      <c r="G395" s="1034"/>
      <c r="H395" s="1034"/>
      <c r="I395" s="1034"/>
      <c r="J395" s="1034"/>
      <c r="K395" s="1034"/>
      <c r="L395" s="1034"/>
    </row>
    <row r="396" spans="1:12" s="1035" customFormat="1" ht="12.75">
      <c r="A396" s="1032"/>
      <c r="B396" s="1032"/>
      <c r="C396" s="1033"/>
      <c r="D396" s="1032"/>
      <c r="E396" s="1034"/>
      <c r="F396" s="1034"/>
      <c r="G396" s="1034"/>
      <c r="H396" s="1034"/>
      <c r="I396" s="1034"/>
      <c r="J396" s="1034"/>
      <c r="K396" s="1034"/>
      <c r="L396" s="1034"/>
    </row>
    <row r="397" spans="1:12" s="1035" customFormat="1" ht="12.75">
      <c r="A397" s="1032"/>
      <c r="B397" s="1032"/>
      <c r="C397" s="1033"/>
      <c r="D397" s="1032"/>
      <c r="E397" s="1034"/>
      <c r="F397" s="1034"/>
      <c r="G397" s="1034"/>
      <c r="H397" s="1034"/>
      <c r="I397" s="1034"/>
      <c r="J397" s="1034"/>
      <c r="K397" s="1034"/>
      <c r="L397" s="1034"/>
    </row>
    <row r="398" spans="1:12" s="1035" customFormat="1" ht="12.75">
      <c r="A398" s="1032"/>
      <c r="B398" s="1032"/>
      <c r="C398" s="1033"/>
      <c r="D398" s="1032"/>
      <c r="E398" s="1034"/>
      <c r="F398" s="1034"/>
      <c r="G398" s="1034"/>
      <c r="H398" s="1034"/>
      <c r="I398" s="1034"/>
      <c r="J398" s="1034"/>
      <c r="K398" s="1034"/>
      <c r="L398" s="1034"/>
    </row>
    <row r="399" spans="1:12" s="1035" customFormat="1" ht="12.75">
      <c r="A399" s="1032"/>
      <c r="B399" s="1032"/>
      <c r="C399" s="1033"/>
      <c r="D399" s="1032"/>
      <c r="E399" s="1034"/>
      <c r="F399" s="1034"/>
      <c r="G399" s="1034"/>
      <c r="H399" s="1034"/>
      <c r="I399" s="1034"/>
      <c r="J399" s="1034"/>
      <c r="K399" s="1034"/>
      <c r="L399" s="1034"/>
    </row>
    <row r="400" spans="1:12" s="1035" customFormat="1" ht="12.75">
      <c r="A400" s="1032"/>
      <c r="B400" s="1032"/>
      <c r="C400" s="1033"/>
      <c r="D400" s="1032"/>
      <c r="E400" s="1034"/>
      <c r="F400" s="1034"/>
      <c r="G400" s="1034"/>
      <c r="H400" s="1034"/>
      <c r="I400" s="1034"/>
      <c r="J400" s="1034"/>
      <c r="K400" s="1034"/>
      <c r="L400" s="1034"/>
    </row>
    <row r="401" spans="1:12" s="1035" customFormat="1" ht="12.75">
      <c r="A401" s="1032"/>
      <c r="B401" s="1032"/>
      <c r="C401" s="1033"/>
      <c r="D401" s="1032"/>
      <c r="E401" s="1034"/>
      <c r="F401" s="1034"/>
      <c r="G401" s="1034"/>
      <c r="H401" s="1034"/>
      <c r="I401" s="1034"/>
      <c r="J401" s="1034"/>
      <c r="K401" s="1034"/>
      <c r="L401" s="1034"/>
    </row>
    <row r="402" spans="1:12" s="1035" customFormat="1" ht="12.75">
      <c r="A402" s="1032"/>
      <c r="B402" s="1032"/>
      <c r="C402" s="1033"/>
      <c r="D402" s="1032"/>
      <c r="E402" s="1034"/>
      <c r="F402" s="1034"/>
      <c r="G402" s="1034"/>
      <c r="H402" s="1034"/>
      <c r="I402" s="1034"/>
      <c r="J402" s="1034"/>
      <c r="K402" s="1034"/>
      <c r="L402" s="1034"/>
    </row>
    <row r="403" spans="1:12" s="1035" customFormat="1" ht="12.75">
      <c r="A403" s="1032"/>
      <c r="B403" s="1032"/>
      <c r="C403" s="1033"/>
      <c r="D403" s="1032"/>
      <c r="E403" s="1034"/>
      <c r="F403" s="1034"/>
      <c r="G403" s="1034"/>
      <c r="H403" s="1034"/>
      <c r="I403" s="1034"/>
      <c r="J403" s="1034"/>
      <c r="K403" s="1034"/>
      <c r="L403" s="1034"/>
    </row>
    <row r="404" spans="1:12" s="1035" customFormat="1" ht="12.75">
      <c r="A404" s="1032"/>
      <c r="B404" s="1032"/>
      <c r="C404" s="1033"/>
      <c r="D404" s="1032"/>
      <c r="E404" s="1034"/>
      <c r="F404" s="1034"/>
      <c r="G404" s="1034"/>
      <c r="H404" s="1034"/>
      <c r="I404" s="1034"/>
      <c r="J404" s="1034"/>
      <c r="K404" s="1034"/>
      <c r="L404" s="1034"/>
    </row>
    <row r="405" spans="1:12" s="1035" customFormat="1" ht="12.75">
      <c r="A405" s="1032"/>
      <c r="B405" s="1032"/>
      <c r="C405" s="1033"/>
      <c r="D405" s="1032"/>
      <c r="E405" s="1034"/>
      <c r="F405" s="1034"/>
      <c r="G405" s="1034"/>
      <c r="H405" s="1034"/>
      <c r="I405" s="1034"/>
      <c r="J405" s="1034"/>
      <c r="K405" s="1034"/>
      <c r="L405" s="1034"/>
    </row>
    <row r="406" spans="1:12" s="1035" customFormat="1" ht="12.75">
      <c r="A406" s="1032"/>
      <c r="B406" s="1032"/>
      <c r="C406" s="1033"/>
      <c r="D406" s="1032"/>
      <c r="E406" s="1034"/>
      <c r="F406" s="1034"/>
      <c r="G406" s="1034"/>
      <c r="H406" s="1034"/>
      <c r="I406" s="1034"/>
      <c r="J406" s="1034"/>
      <c r="K406" s="1034"/>
      <c r="L406" s="1034"/>
    </row>
    <row r="407" spans="1:12" s="1035" customFormat="1" ht="12.75">
      <c r="A407" s="1032"/>
      <c r="B407" s="1032"/>
      <c r="C407" s="1033"/>
      <c r="D407" s="1032"/>
      <c r="E407" s="1034"/>
      <c r="F407" s="1034"/>
      <c r="G407" s="1034"/>
      <c r="H407" s="1034"/>
      <c r="I407" s="1034"/>
      <c r="J407" s="1034"/>
      <c r="K407" s="1034"/>
      <c r="L407" s="1034"/>
    </row>
    <row r="408" spans="1:12" s="1035" customFormat="1" ht="12.75">
      <c r="A408" s="1032"/>
      <c r="B408" s="1032"/>
      <c r="C408" s="1033"/>
      <c r="D408" s="1032"/>
      <c r="E408" s="1034"/>
      <c r="F408" s="1034"/>
      <c r="G408" s="1034"/>
      <c r="H408" s="1034"/>
      <c r="I408" s="1034"/>
      <c r="J408" s="1034"/>
      <c r="K408" s="1034"/>
      <c r="L408" s="1034"/>
    </row>
    <row r="409" spans="1:12" s="1035" customFormat="1" ht="12.75">
      <c r="A409" s="1032"/>
      <c r="B409" s="1032"/>
      <c r="C409" s="1033"/>
      <c r="D409" s="1032"/>
      <c r="E409" s="1034"/>
      <c r="F409" s="1034"/>
      <c r="G409" s="1034"/>
      <c r="H409" s="1034"/>
      <c r="I409" s="1034"/>
      <c r="J409" s="1034"/>
      <c r="K409" s="1034"/>
      <c r="L409" s="1034"/>
    </row>
    <row r="410" spans="1:12" s="1035" customFormat="1" ht="12.75">
      <c r="A410" s="1032"/>
      <c r="B410" s="1032"/>
      <c r="C410" s="1033"/>
      <c r="D410" s="1032"/>
      <c r="E410" s="1034"/>
      <c r="F410" s="1034"/>
      <c r="G410" s="1034"/>
      <c r="H410" s="1034"/>
      <c r="I410" s="1034"/>
      <c r="J410" s="1034"/>
      <c r="K410" s="1034"/>
      <c r="L410" s="1034"/>
    </row>
    <row r="411" spans="1:12" s="1035" customFormat="1" ht="12.75">
      <c r="A411" s="1032"/>
      <c r="B411" s="1032"/>
      <c r="C411" s="1033"/>
      <c r="D411" s="1032"/>
      <c r="E411" s="1034"/>
      <c r="F411" s="1034"/>
      <c r="G411" s="1034"/>
      <c r="H411" s="1034"/>
      <c r="I411" s="1034"/>
      <c r="J411" s="1034"/>
      <c r="K411" s="1034"/>
      <c r="L411" s="1034"/>
    </row>
    <row r="412" spans="1:12" s="1035" customFormat="1" ht="12.75">
      <c r="A412" s="1032"/>
      <c r="B412" s="1032"/>
      <c r="C412" s="1033"/>
      <c r="D412" s="1032"/>
      <c r="E412" s="1034"/>
      <c r="F412" s="1034"/>
      <c r="G412" s="1034"/>
      <c r="H412" s="1034"/>
      <c r="I412" s="1034"/>
      <c r="J412" s="1034"/>
      <c r="K412" s="1034"/>
      <c r="L412" s="1034"/>
    </row>
    <row r="413" spans="1:12" s="1035" customFormat="1" ht="12.75">
      <c r="A413" s="1032"/>
      <c r="B413" s="1032"/>
      <c r="C413" s="1033"/>
      <c r="D413" s="1032"/>
      <c r="E413" s="1034"/>
      <c r="F413" s="1034"/>
      <c r="G413" s="1034"/>
      <c r="H413" s="1034"/>
      <c r="I413" s="1034"/>
      <c r="J413" s="1034"/>
      <c r="K413" s="1034"/>
      <c r="L413" s="1034"/>
    </row>
    <row r="414" spans="1:12" s="1035" customFormat="1" ht="12.75">
      <c r="A414" s="1032"/>
      <c r="B414" s="1032"/>
      <c r="C414" s="1033"/>
      <c r="D414" s="1032"/>
      <c r="E414" s="1034"/>
      <c r="F414" s="1034"/>
      <c r="G414" s="1034"/>
      <c r="H414" s="1034"/>
      <c r="I414" s="1034"/>
      <c r="J414" s="1034"/>
      <c r="K414" s="1034"/>
      <c r="L414" s="1034"/>
    </row>
    <row r="415" spans="1:12" s="1035" customFormat="1" ht="12.75">
      <c r="A415" s="1032"/>
      <c r="B415" s="1032"/>
      <c r="C415" s="1033"/>
      <c r="D415" s="1032"/>
      <c r="E415" s="1034"/>
      <c r="F415" s="1034"/>
      <c r="G415" s="1034"/>
      <c r="H415" s="1034"/>
      <c r="I415" s="1034"/>
      <c r="J415" s="1034"/>
      <c r="K415" s="1034"/>
      <c r="L415" s="1034"/>
    </row>
    <row r="416" spans="1:12" s="1035" customFormat="1" ht="12.75">
      <c r="A416" s="1032"/>
      <c r="B416" s="1032"/>
      <c r="C416" s="1033"/>
      <c r="D416" s="1032"/>
      <c r="E416" s="1034"/>
      <c r="F416" s="1034"/>
      <c r="G416" s="1034"/>
      <c r="H416" s="1034"/>
      <c r="I416" s="1034"/>
      <c r="J416" s="1034"/>
      <c r="K416" s="1034"/>
      <c r="L416" s="1034"/>
    </row>
    <row r="417" spans="1:12" s="1035" customFormat="1" ht="12.75">
      <c r="A417" s="1032"/>
      <c r="B417" s="1032"/>
      <c r="C417" s="1033"/>
      <c r="D417" s="1032"/>
      <c r="E417" s="1034"/>
      <c r="F417" s="1034"/>
      <c r="G417" s="1034"/>
      <c r="H417" s="1034"/>
      <c r="I417" s="1034"/>
      <c r="J417" s="1034"/>
      <c r="K417" s="1034"/>
      <c r="L417" s="1034"/>
    </row>
    <row r="418" spans="1:12" s="1035" customFormat="1" ht="12.75">
      <c r="A418" s="1032"/>
      <c r="B418" s="1032"/>
      <c r="C418" s="1033"/>
      <c r="D418" s="1032"/>
      <c r="E418" s="1034"/>
      <c r="F418" s="1034"/>
      <c r="G418" s="1034"/>
      <c r="H418" s="1034"/>
      <c r="I418" s="1034"/>
      <c r="J418" s="1034"/>
      <c r="K418" s="1034"/>
      <c r="L418" s="1034"/>
    </row>
    <row r="419" spans="1:12" s="1035" customFormat="1" ht="12.75">
      <c r="A419" s="1032"/>
      <c r="B419" s="1032"/>
      <c r="C419" s="1033"/>
      <c r="D419" s="1032"/>
      <c r="E419" s="1034"/>
      <c r="F419" s="1034"/>
      <c r="G419" s="1034"/>
      <c r="H419" s="1034"/>
      <c r="I419" s="1034"/>
      <c r="J419" s="1034"/>
      <c r="K419" s="1034"/>
      <c r="L419" s="1034"/>
    </row>
    <row r="420" spans="1:12" s="1035" customFormat="1" ht="12.75">
      <c r="A420" s="1032"/>
      <c r="B420" s="1032"/>
      <c r="C420" s="1033"/>
      <c r="D420" s="1032"/>
      <c r="E420" s="1034"/>
      <c r="F420" s="1034"/>
      <c r="G420" s="1034"/>
      <c r="H420" s="1034"/>
      <c r="I420" s="1034"/>
      <c r="J420" s="1034"/>
      <c r="K420" s="1034"/>
      <c r="L420" s="1034"/>
    </row>
    <row r="421" spans="1:12" ht="12.75">
      <c r="A421" s="1032"/>
    </row>
    <row r="430" spans="1:12">
      <c r="B430" s="1132"/>
      <c r="D430" s="1132"/>
      <c r="E430" s="1135"/>
      <c r="F430" s="1135"/>
      <c r="G430" s="1135"/>
      <c r="H430" s="1135"/>
      <c r="I430" s="1135"/>
      <c r="J430" s="1135"/>
      <c r="K430" s="1135"/>
      <c r="L430" s="1135"/>
    </row>
    <row r="431" spans="1:12">
      <c r="A431" s="1132"/>
      <c r="B431" s="1132"/>
      <c r="D431" s="1132"/>
      <c r="E431" s="1135"/>
      <c r="F431" s="1135"/>
      <c r="G431" s="1135"/>
      <c r="H431" s="1135"/>
      <c r="I431" s="1135"/>
      <c r="J431" s="1135"/>
      <c r="K431" s="1135"/>
      <c r="L431" s="1135"/>
    </row>
    <row r="432" spans="1:12">
      <c r="A432" s="1132"/>
      <c r="B432" s="1132"/>
      <c r="D432" s="1132"/>
      <c r="E432" s="1135"/>
      <c r="F432" s="1135"/>
      <c r="G432" s="1135"/>
      <c r="H432" s="1135"/>
      <c r="I432" s="1135"/>
      <c r="J432" s="1135"/>
      <c r="K432" s="1135"/>
      <c r="L432" s="1135"/>
    </row>
    <row r="433" spans="1:12">
      <c r="A433" s="1132"/>
      <c r="B433" s="1132"/>
      <c r="D433" s="1132"/>
      <c r="E433" s="1135"/>
      <c r="F433" s="1135"/>
      <c r="G433" s="1135"/>
      <c r="H433" s="1135"/>
      <c r="I433" s="1135"/>
      <c r="J433" s="1135"/>
      <c r="K433" s="1135"/>
      <c r="L433" s="1135"/>
    </row>
    <row r="434" spans="1:12">
      <c r="A434" s="1132"/>
      <c r="B434" s="1132"/>
      <c r="D434" s="1132"/>
      <c r="E434" s="1135"/>
      <c r="F434" s="1135"/>
      <c r="G434" s="1135"/>
      <c r="H434" s="1135"/>
      <c r="I434" s="1135"/>
      <c r="J434" s="1135"/>
      <c r="K434" s="1135"/>
      <c r="L434" s="1135"/>
    </row>
    <row r="435" spans="1:12">
      <c r="A435" s="1132"/>
      <c r="B435" s="1132"/>
      <c r="D435" s="1132"/>
      <c r="E435" s="1135"/>
      <c r="F435" s="1135"/>
      <c r="G435" s="1135"/>
      <c r="H435" s="1135"/>
      <c r="I435" s="1135"/>
      <c r="J435" s="1135"/>
      <c r="K435" s="1135"/>
      <c r="L435" s="1135"/>
    </row>
    <row r="436" spans="1:12">
      <c r="A436" s="1132"/>
      <c r="B436" s="1132"/>
      <c r="D436" s="1132"/>
      <c r="E436" s="1135"/>
      <c r="F436" s="1135"/>
      <c r="G436" s="1135"/>
      <c r="H436" s="1135"/>
      <c r="I436" s="1135"/>
      <c r="J436" s="1135"/>
      <c r="K436" s="1135"/>
      <c r="L436" s="1135"/>
    </row>
    <row r="437" spans="1:12">
      <c r="A437" s="1132"/>
      <c r="B437" s="1132"/>
      <c r="D437" s="1132"/>
      <c r="E437" s="1135"/>
      <c r="F437" s="1135"/>
      <c r="G437" s="1135"/>
      <c r="H437" s="1135"/>
      <c r="I437" s="1135"/>
      <c r="J437" s="1135"/>
      <c r="K437" s="1135"/>
      <c r="L437" s="1135"/>
    </row>
    <row r="438" spans="1:12">
      <c r="A438" s="1132"/>
      <c r="B438" s="1132"/>
      <c r="D438" s="1132"/>
      <c r="E438" s="1135"/>
      <c r="F438" s="1135"/>
      <c r="G438" s="1135"/>
      <c r="H438" s="1135"/>
      <c r="I438" s="1135"/>
      <c r="J438" s="1135"/>
      <c r="K438" s="1135"/>
      <c r="L438" s="1135"/>
    </row>
    <row r="439" spans="1:12">
      <c r="A439" s="1132"/>
      <c r="B439" s="1132"/>
      <c r="D439" s="1132"/>
      <c r="E439" s="1135"/>
      <c r="F439" s="1135"/>
      <c r="G439" s="1135"/>
      <c r="H439" s="1135"/>
      <c r="I439" s="1135"/>
      <c r="J439" s="1135"/>
      <c r="K439" s="1135"/>
      <c r="L439" s="1135"/>
    </row>
    <row r="440" spans="1:12">
      <c r="A440" s="1132"/>
      <c r="B440" s="1132"/>
      <c r="D440" s="1132"/>
      <c r="E440" s="1135"/>
      <c r="F440" s="1135"/>
      <c r="G440" s="1135"/>
      <c r="H440" s="1135"/>
      <c r="I440" s="1135"/>
      <c r="J440" s="1135"/>
      <c r="K440" s="1135"/>
      <c r="L440" s="1135"/>
    </row>
    <row r="441" spans="1:12">
      <c r="A441" s="1132"/>
      <c r="B441" s="1132"/>
      <c r="D441" s="1132"/>
      <c r="E441" s="1135"/>
      <c r="F441" s="1135"/>
      <c r="G441" s="1135"/>
      <c r="H441" s="1135"/>
      <c r="I441" s="1135"/>
      <c r="J441" s="1135"/>
      <c r="K441" s="1135"/>
      <c r="L441" s="1135"/>
    </row>
    <row r="442" spans="1:12">
      <c r="A442" s="1132"/>
      <c r="B442" s="1132"/>
      <c r="D442" s="1132"/>
      <c r="E442" s="1135"/>
      <c r="F442" s="1135"/>
      <c r="G442" s="1135"/>
      <c r="H442" s="1135"/>
      <c r="I442" s="1135"/>
      <c r="J442" s="1135"/>
      <c r="K442" s="1135"/>
      <c r="L442" s="1135"/>
    </row>
    <row r="443" spans="1:12">
      <c r="A443" s="1132"/>
      <c r="B443" s="1132"/>
      <c r="D443" s="1132"/>
      <c r="E443" s="1135"/>
      <c r="F443" s="1135"/>
      <c r="G443" s="1135"/>
      <c r="H443" s="1135"/>
      <c r="I443" s="1135"/>
      <c r="J443" s="1135"/>
      <c r="K443" s="1135"/>
      <c r="L443" s="1135"/>
    </row>
    <row r="444" spans="1:12">
      <c r="A444" s="1132"/>
      <c r="B444" s="1132"/>
      <c r="D444" s="1132"/>
      <c r="E444" s="1135"/>
      <c r="F444" s="1135"/>
      <c r="G444" s="1135"/>
      <c r="H444" s="1135"/>
      <c r="I444" s="1135"/>
      <c r="J444" s="1135"/>
      <c r="K444" s="1135"/>
      <c r="L444" s="1135"/>
    </row>
    <row r="445" spans="1:12">
      <c r="A445" s="1132"/>
      <c r="B445" s="1132"/>
      <c r="D445" s="1132"/>
      <c r="E445" s="1135"/>
      <c r="F445" s="1135"/>
      <c r="G445" s="1135"/>
      <c r="H445" s="1135"/>
      <c r="I445" s="1135"/>
      <c r="J445" s="1135"/>
      <c r="K445" s="1135"/>
      <c r="L445" s="1135"/>
    </row>
    <row r="446" spans="1:12">
      <c r="A446" s="1132"/>
      <c r="B446" s="1132"/>
      <c r="D446" s="1132"/>
      <c r="E446" s="1135"/>
      <c r="F446" s="1135"/>
      <c r="G446" s="1135"/>
      <c r="H446" s="1135"/>
      <c r="I446" s="1135"/>
      <c r="J446" s="1135"/>
      <c r="K446" s="1135"/>
      <c r="L446" s="1135"/>
    </row>
    <row r="447" spans="1:12">
      <c r="A447" s="1132"/>
      <c r="B447" s="1132"/>
      <c r="D447" s="1132"/>
      <c r="E447" s="1135"/>
      <c r="F447" s="1135"/>
      <c r="G447" s="1135"/>
      <c r="H447" s="1135"/>
      <c r="I447" s="1135"/>
      <c r="J447" s="1135"/>
      <c r="K447" s="1135"/>
      <c r="L447" s="1135"/>
    </row>
    <row r="448" spans="1:12">
      <c r="A448" s="1132"/>
      <c r="B448" s="1132"/>
      <c r="D448" s="1132"/>
      <c r="E448" s="1135"/>
      <c r="F448" s="1135"/>
      <c r="G448" s="1135"/>
      <c r="H448" s="1135"/>
      <c r="I448" s="1135"/>
      <c r="J448" s="1135"/>
      <c r="K448" s="1135"/>
      <c r="L448" s="1135"/>
    </row>
    <row r="449" spans="1:12">
      <c r="A449" s="1132"/>
      <c r="B449" s="1132"/>
      <c r="D449" s="1132"/>
      <c r="E449" s="1135"/>
      <c r="F449" s="1135"/>
      <c r="G449" s="1135"/>
      <c r="H449" s="1135"/>
      <c r="I449" s="1135"/>
      <c r="J449" s="1135"/>
      <c r="K449" s="1135"/>
      <c r="L449" s="1135"/>
    </row>
    <row r="450" spans="1:12">
      <c r="A450" s="1132"/>
      <c r="B450" s="1132"/>
      <c r="D450" s="1132"/>
      <c r="E450" s="1135"/>
      <c r="F450" s="1135"/>
      <c r="G450" s="1135"/>
      <c r="H450" s="1135"/>
      <c r="I450" s="1135"/>
      <c r="J450" s="1135"/>
      <c r="K450" s="1135"/>
      <c r="L450" s="1135"/>
    </row>
    <row r="451" spans="1:12">
      <c r="A451" s="1132"/>
      <c r="B451" s="1132"/>
      <c r="D451" s="1132"/>
      <c r="E451" s="1135"/>
      <c r="F451" s="1135"/>
      <c r="G451" s="1135"/>
      <c r="H451" s="1135"/>
      <c r="I451" s="1135"/>
      <c r="J451" s="1135"/>
      <c r="K451" s="1135"/>
      <c r="L451" s="1135"/>
    </row>
    <row r="452" spans="1:12">
      <c r="A452" s="1132"/>
      <c r="B452" s="1132"/>
      <c r="D452" s="1132"/>
      <c r="E452" s="1135"/>
      <c r="F452" s="1135"/>
      <c r="G452" s="1135"/>
      <c r="H452" s="1135"/>
      <c r="I452" s="1135"/>
      <c r="J452" s="1135"/>
      <c r="K452" s="1135"/>
      <c r="L452" s="1135"/>
    </row>
    <row r="453" spans="1:12">
      <c r="A453" s="1132"/>
      <c r="B453" s="1132"/>
      <c r="D453" s="1132"/>
      <c r="E453" s="1135"/>
      <c r="F453" s="1135"/>
      <c r="G453" s="1135"/>
      <c r="H453" s="1135"/>
      <c r="I453" s="1135"/>
      <c r="J453" s="1135"/>
      <c r="K453" s="1135"/>
      <c r="L453" s="1135"/>
    </row>
    <row r="454" spans="1:12">
      <c r="A454" s="1132"/>
      <c r="B454" s="1132"/>
      <c r="D454" s="1132"/>
      <c r="E454" s="1135"/>
      <c r="F454" s="1135"/>
      <c r="G454" s="1135"/>
      <c r="H454" s="1135"/>
      <c r="I454" s="1135"/>
      <c r="J454" s="1135"/>
      <c r="K454" s="1135"/>
      <c r="L454" s="1135"/>
    </row>
    <row r="455" spans="1:12">
      <c r="A455" s="1132"/>
      <c r="B455" s="1132"/>
      <c r="D455" s="1132"/>
      <c r="E455" s="1135"/>
      <c r="F455" s="1135"/>
      <c r="G455" s="1135"/>
      <c r="H455" s="1135"/>
      <c r="I455" s="1135"/>
      <c r="J455" s="1135"/>
      <c r="K455" s="1135"/>
      <c r="L455" s="1135"/>
    </row>
    <row r="456" spans="1:12">
      <c r="A456" s="1132"/>
      <c r="B456" s="1132"/>
      <c r="D456" s="1132"/>
      <c r="E456" s="1135"/>
      <c r="F456" s="1135"/>
      <c r="G456" s="1135"/>
      <c r="H456" s="1135"/>
      <c r="I456" s="1135"/>
      <c r="J456" s="1135"/>
      <c r="K456" s="1135"/>
      <c r="L456" s="1135"/>
    </row>
    <row r="457" spans="1:12">
      <c r="A457" s="1132"/>
      <c r="B457" s="1132"/>
      <c r="D457" s="1132"/>
      <c r="E457" s="1135"/>
      <c r="F457" s="1135"/>
      <c r="G457" s="1135"/>
      <c r="H457" s="1135"/>
      <c r="I457" s="1135"/>
      <c r="J457" s="1135"/>
      <c r="K457" s="1135"/>
      <c r="L457" s="1135"/>
    </row>
    <row r="458" spans="1:12">
      <c r="A458" s="1132"/>
      <c r="B458" s="1132"/>
      <c r="D458" s="1132"/>
      <c r="E458" s="1135"/>
      <c r="F458" s="1135"/>
      <c r="G458" s="1135"/>
      <c r="H458" s="1135"/>
      <c r="I458" s="1135"/>
      <c r="J458" s="1135"/>
      <c r="K458" s="1135"/>
      <c r="L458" s="1135"/>
    </row>
    <row r="459" spans="1:12">
      <c r="A459" s="1132"/>
      <c r="B459" s="1132"/>
      <c r="D459" s="1132"/>
      <c r="E459" s="1135"/>
      <c r="F459" s="1135"/>
      <c r="G459" s="1135"/>
      <c r="H459" s="1135"/>
      <c r="I459" s="1135"/>
      <c r="J459" s="1135"/>
      <c r="K459" s="1135"/>
      <c r="L459" s="1135"/>
    </row>
    <row r="460" spans="1:12">
      <c r="A460" s="1132"/>
      <c r="B460" s="1132"/>
      <c r="D460" s="1132"/>
      <c r="E460" s="1135"/>
      <c r="F460" s="1135"/>
      <c r="G460" s="1135"/>
      <c r="H460" s="1135"/>
      <c r="I460" s="1135"/>
      <c r="J460" s="1135"/>
      <c r="K460" s="1135"/>
      <c r="L460" s="1135"/>
    </row>
    <row r="461" spans="1:12">
      <c r="A461" s="1132"/>
      <c r="B461" s="1132"/>
      <c r="D461" s="1132"/>
      <c r="E461" s="1135"/>
      <c r="F461" s="1135"/>
      <c r="G461" s="1135"/>
      <c r="H461" s="1135"/>
      <c r="I461" s="1135"/>
      <c r="J461" s="1135"/>
      <c r="K461" s="1135"/>
      <c r="L461" s="1135"/>
    </row>
    <row r="462" spans="1:12">
      <c r="A462" s="1132"/>
      <c r="B462" s="1132"/>
      <c r="D462" s="1132"/>
      <c r="E462" s="1135"/>
      <c r="F462" s="1135"/>
      <c r="G462" s="1135"/>
      <c r="H462" s="1135"/>
      <c r="I462" s="1135"/>
      <c r="J462" s="1135"/>
      <c r="K462" s="1135"/>
      <c r="L462" s="1135"/>
    </row>
    <row r="463" spans="1:12">
      <c r="A463" s="1132"/>
      <c r="B463" s="1132"/>
      <c r="D463" s="1132"/>
      <c r="E463" s="1135"/>
      <c r="F463" s="1135"/>
      <c r="G463" s="1135"/>
      <c r="H463" s="1135"/>
      <c r="I463" s="1135"/>
      <c r="J463" s="1135"/>
      <c r="K463" s="1135"/>
      <c r="L463" s="1135"/>
    </row>
    <row r="464" spans="1:12">
      <c r="A464" s="1132"/>
      <c r="B464" s="1132"/>
      <c r="D464" s="1132"/>
      <c r="E464" s="1135"/>
      <c r="F464" s="1135"/>
      <c r="G464" s="1135"/>
      <c r="H464" s="1135"/>
      <c r="I464" s="1135"/>
      <c r="J464" s="1135"/>
      <c r="K464" s="1135"/>
      <c r="L464" s="1135"/>
    </row>
    <row r="465" spans="1:12">
      <c r="A465" s="1132"/>
      <c r="B465" s="1132"/>
      <c r="D465" s="1132"/>
      <c r="E465" s="1135"/>
      <c r="F465" s="1135"/>
      <c r="G465" s="1135"/>
      <c r="H465" s="1135"/>
      <c r="I465" s="1135"/>
      <c r="J465" s="1135"/>
      <c r="K465" s="1135"/>
      <c r="L465" s="1135"/>
    </row>
    <row r="466" spans="1:12">
      <c r="A466" s="1132"/>
      <c r="B466" s="1132"/>
      <c r="D466" s="1132"/>
      <c r="E466" s="1135"/>
      <c r="F466" s="1135"/>
      <c r="G466" s="1135"/>
      <c r="H466" s="1135"/>
      <c r="I466" s="1135"/>
      <c r="J466" s="1135"/>
      <c r="K466" s="1135"/>
      <c r="L466" s="1135"/>
    </row>
    <row r="467" spans="1:12">
      <c r="A467" s="1132"/>
      <c r="B467" s="1132"/>
      <c r="D467" s="1132"/>
      <c r="E467" s="1135"/>
      <c r="F467" s="1135"/>
      <c r="G467" s="1135"/>
      <c r="H467" s="1135"/>
      <c r="I467" s="1135"/>
      <c r="J467" s="1135"/>
      <c r="K467" s="1135"/>
      <c r="L467" s="1135"/>
    </row>
    <row r="468" spans="1:12">
      <c r="A468" s="1132"/>
      <c r="B468" s="1132"/>
      <c r="D468" s="1132"/>
      <c r="E468" s="1135"/>
      <c r="F468" s="1135"/>
      <c r="G468" s="1135"/>
      <c r="H468" s="1135"/>
      <c r="I468" s="1135"/>
      <c r="J468" s="1135"/>
      <c r="K468" s="1135"/>
      <c r="L468" s="1135"/>
    </row>
    <row r="469" spans="1:12">
      <c r="A469" s="1132"/>
      <c r="B469" s="1132"/>
      <c r="D469" s="1132"/>
      <c r="E469" s="1135"/>
      <c r="F469" s="1135"/>
      <c r="G469" s="1135"/>
      <c r="H469" s="1135"/>
      <c r="I469" s="1135"/>
      <c r="J469" s="1135"/>
      <c r="K469" s="1135"/>
      <c r="L469" s="1135"/>
    </row>
    <row r="470" spans="1:12">
      <c r="A470" s="1132"/>
      <c r="B470" s="1132"/>
      <c r="D470" s="1132"/>
      <c r="E470" s="1135"/>
      <c r="F470" s="1135"/>
      <c r="G470" s="1135"/>
      <c r="H470" s="1135"/>
      <c r="I470" s="1135"/>
      <c r="J470" s="1135"/>
      <c r="K470" s="1135"/>
      <c r="L470" s="1135"/>
    </row>
    <row r="471" spans="1:12">
      <c r="A471" s="1132"/>
      <c r="B471" s="1132"/>
      <c r="D471" s="1132"/>
      <c r="E471" s="1135"/>
      <c r="F471" s="1135"/>
      <c r="G471" s="1135"/>
      <c r="H471" s="1135"/>
      <c r="I471" s="1135"/>
      <c r="J471" s="1135"/>
      <c r="K471" s="1135"/>
      <c r="L471" s="1135"/>
    </row>
    <row r="472" spans="1:12">
      <c r="A472" s="1132"/>
      <c r="B472" s="1132"/>
      <c r="D472" s="1132"/>
      <c r="E472" s="1135"/>
      <c r="F472" s="1135"/>
      <c r="G472" s="1135"/>
      <c r="H472" s="1135"/>
      <c r="I472" s="1135"/>
      <c r="J472" s="1135"/>
      <c r="K472" s="1135"/>
      <c r="L472" s="1135"/>
    </row>
    <row r="473" spans="1:12">
      <c r="A473" s="1132"/>
      <c r="B473" s="1132"/>
      <c r="D473" s="1132"/>
      <c r="E473" s="1135"/>
      <c r="F473" s="1135"/>
      <c r="G473" s="1135"/>
      <c r="H473" s="1135"/>
      <c r="I473" s="1135"/>
      <c r="J473" s="1135"/>
      <c r="K473" s="1135"/>
      <c r="L473" s="1135"/>
    </row>
    <row r="474" spans="1:12">
      <c r="A474" s="1132"/>
      <c r="B474" s="1132"/>
      <c r="D474" s="1132"/>
      <c r="E474" s="1135"/>
      <c r="F474" s="1135"/>
      <c r="G474" s="1135"/>
      <c r="H474" s="1135"/>
      <c r="I474" s="1135"/>
      <c r="J474" s="1135"/>
      <c r="K474" s="1135"/>
      <c r="L474" s="1135"/>
    </row>
    <row r="475" spans="1:12">
      <c r="A475" s="1132"/>
      <c r="B475" s="1132"/>
      <c r="D475" s="1132"/>
      <c r="E475" s="1135"/>
      <c r="F475" s="1135"/>
      <c r="G475" s="1135"/>
      <c r="H475" s="1135"/>
      <c r="I475" s="1135"/>
      <c r="J475" s="1135"/>
      <c r="K475" s="1135"/>
      <c r="L475" s="1135"/>
    </row>
    <row r="476" spans="1:12">
      <c r="A476" s="1132"/>
      <c r="B476" s="1132"/>
      <c r="D476" s="1132"/>
      <c r="E476" s="1135"/>
      <c r="F476" s="1135"/>
      <c r="G476" s="1135"/>
      <c r="H476" s="1135"/>
      <c r="I476" s="1135"/>
      <c r="J476" s="1135"/>
      <c r="K476" s="1135"/>
      <c r="L476" s="1135"/>
    </row>
    <row r="477" spans="1:12">
      <c r="A477" s="1132"/>
      <c r="B477" s="1132"/>
      <c r="D477" s="1132"/>
      <c r="E477" s="1135"/>
      <c r="F477" s="1135"/>
      <c r="G477" s="1135"/>
      <c r="H477" s="1135"/>
      <c r="I477" s="1135"/>
      <c r="J477" s="1135"/>
      <c r="K477" s="1135"/>
      <c r="L477" s="1135"/>
    </row>
    <row r="478" spans="1:12">
      <c r="A478" s="1132"/>
      <c r="B478" s="1132"/>
      <c r="D478" s="1132"/>
      <c r="E478" s="1135"/>
      <c r="F478" s="1135"/>
      <c r="G478" s="1135"/>
      <c r="H478" s="1135"/>
      <c r="I478" s="1135"/>
      <c r="J478" s="1135"/>
      <c r="K478" s="1135"/>
      <c r="L478" s="1135"/>
    </row>
    <row r="479" spans="1:12">
      <c r="A479" s="1132"/>
      <c r="B479" s="1132"/>
      <c r="D479" s="1132"/>
      <c r="E479" s="1135"/>
      <c r="F479" s="1135"/>
      <c r="G479" s="1135"/>
      <c r="H479" s="1135"/>
      <c r="I479" s="1135"/>
      <c r="J479" s="1135"/>
      <c r="K479" s="1135"/>
      <c r="L479" s="1135"/>
    </row>
    <row r="480" spans="1:12">
      <c r="A480" s="1132"/>
      <c r="B480" s="1132"/>
      <c r="D480" s="1132"/>
      <c r="E480" s="1135"/>
      <c r="F480" s="1135"/>
      <c r="G480" s="1135"/>
      <c r="H480" s="1135"/>
      <c r="I480" s="1135"/>
      <c r="J480" s="1135"/>
      <c r="K480" s="1135"/>
      <c r="L480" s="1135"/>
    </row>
    <row r="481" spans="1:12">
      <c r="A481" s="1132"/>
      <c r="B481" s="1132"/>
      <c r="D481" s="1132"/>
      <c r="E481" s="1135"/>
      <c r="F481" s="1135"/>
      <c r="G481" s="1135"/>
      <c r="H481" s="1135"/>
      <c r="I481" s="1135"/>
      <c r="J481" s="1135"/>
      <c r="K481" s="1135"/>
      <c r="L481" s="1135"/>
    </row>
    <row r="482" spans="1:12">
      <c r="A482" s="1132"/>
      <c r="B482" s="1132"/>
      <c r="D482" s="1132"/>
      <c r="E482" s="1135"/>
      <c r="F482" s="1135"/>
      <c r="G482" s="1135"/>
      <c r="H482" s="1135"/>
      <c r="I482" s="1135"/>
      <c r="J482" s="1135"/>
      <c r="K482" s="1135"/>
      <c r="L482" s="1135"/>
    </row>
    <row r="483" spans="1:12">
      <c r="A483" s="1132"/>
      <c r="B483" s="1132"/>
      <c r="D483" s="1132"/>
      <c r="E483" s="1135"/>
      <c r="F483" s="1135"/>
      <c r="G483" s="1135"/>
      <c r="H483" s="1135"/>
      <c r="I483" s="1135"/>
      <c r="J483" s="1135"/>
      <c r="K483" s="1135"/>
      <c r="L483" s="1135"/>
    </row>
    <row r="484" spans="1:12">
      <c r="A484" s="1132"/>
      <c r="B484" s="1132"/>
      <c r="D484" s="1132"/>
      <c r="E484" s="1135"/>
      <c r="F484" s="1135"/>
      <c r="G484" s="1135"/>
      <c r="H484" s="1135"/>
      <c r="I484" s="1135"/>
      <c r="J484" s="1135"/>
      <c r="K484" s="1135"/>
      <c r="L484" s="1135"/>
    </row>
    <row r="485" spans="1:12">
      <c r="A485" s="1132"/>
      <c r="B485" s="1132"/>
      <c r="D485" s="1132"/>
      <c r="E485" s="1135"/>
      <c r="F485" s="1135"/>
      <c r="G485" s="1135"/>
      <c r="H485" s="1135"/>
      <c r="I485" s="1135"/>
      <c r="J485" s="1135"/>
      <c r="K485" s="1135"/>
      <c r="L485" s="1135"/>
    </row>
    <row r="486" spans="1:12">
      <c r="A486" s="1132"/>
      <c r="B486" s="1132"/>
      <c r="D486" s="1132"/>
      <c r="E486" s="1135"/>
      <c r="F486" s="1135"/>
      <c r="G486" s="1135"/>
      <c r="H486" s="1135"/>
      <c r="I486" s="1135"/>
      <c r="J486" s="1135"/>
      <c r="K486" s="1135"/>
      <c r="L486" s="1135"/>
    </row>
    <row r="487" spans="1:12">
      <c r="A487" s="1132"/>
      <c r="B487" s="1132"/>
      <c r="D487" s="1132"/>
      <c r="E487" s="1135"/>
      <c r="F487" s="1135"/>
      <c r="G487" s="1135"/>
      <c r="H487" s="1135"/>
      <c r="I487" s="1135"/>
      <c r="J487" s="1135"/>
      <c r="K487" s="1135"/>
      <c r="L487" s="1135"/>
    </row>
    <row r="488" spans="1:12">
      <c r="A488" s="1132"/>
      <c r="B488" s="1132"/>
      <c r="D488" s="1132"/>
      <c r="E488" s="1135"/>
      <c r="F488" s="1135"/>
      <c r="G488" s="1135"/>
      <c r="H488" s="1135"/>
      <c r="I488" s="1135"/>
      <c r="J488" s="1135"/>
      <c r="K488" s="1135"/>
      <c r="L488" s="1135"/>
    </row>
    <row r="489" spans="1:12">
      <c r="A489" s="1132"/>
      <c r="B489" s="1132"/>
      <c r="D489" s="1132"/>
      <c r="E489" s="1135"/>
      <c r="F489" s="1135"/>
      <c r="G489" s="1135"/>
      <c r="H489" s="1135"/>
      <c r="I489" s="1135"/>
      <c r="J489" s="1135"/>
      <c r="K489" s="1135"/>
      <c r="L489" s="1135"/>
    </row>
    <row r="490" spans="1:12">
      <c r="A490" s="1132"/>
      <c r="B490" s="1132"/>
      <c r="D490" s="1132"/>
      <c r="E490" s="1135"/>
      <c r="F490" s="1135"/>
      <c r="G490" s="1135"/>
      <c r="H490" s="1135"/>
      <c r="I490" s="1135"/>
      <c r="J490" s="1135"/>
      <c r="K490" s="1135"/>
      <c r="L490" s="1135"/>
    </row>
    <row r="491" spans="1:12">
      <c r="A491" s="1132"/>
      <c r="B491" s="1132"/>
      <c r="D491" s="1132"/>
      <c r="E491" s="1135"/>
      <c r="F491" s="1135"/>
      <c r="G491" s="1135"/>
      <c r="H491" s="1135"/>
      <c r="I491" s="1135"/>
      <c r="J491" s="1135"/>
      <c r="K491" s="1135"/>
      <c r="L491" s="1135"/>
    </row>
    <row r="492" spans="1:12">
      <c r="A492" s="1132"/>
      <c r="B492" s="1132"/>
      <c r="D492" s="1132"/>
      <c r="E492" s="1135"/>
      <c r="F492" s="1135"/>
      <c r="G492" s="1135"/>
      <c r="H492" s="1135"/>
      <c r="I492" s="1135"/>
      <c r="J492" s="1135"/>
      <c r="K492" s="1135"/>
      <c r="L492" s="1135"/>
    </row>
    <row r="493" spans="1:12">
      <c r="A493" s="1132"/>
      <c r="B493" s="1132"/>
      <c r="D493" s="1132"/>
      <c r="E493" s="1135"/>
      <c r="F493" s="1135"/>
      <c r="G493" s="1135"/>
      <c r="H493" s="1135"/>
      <c r="I493" s="1135"/>
      <c r="J493" s="1135"/>
      <c r="K493" s="1135"/>
      <c r="L493" s="1135"/>
    </row>
    <row r="494" spans="1:12">
      <c r="A494" s="1132"/>
      <c r="B494" s="1132"/>
      <c r="D494" s="1132"/>
      <c r="E494" s="1135"/>
      <c r="F494" s="1135"/>
      <c r="G494" s="1135"/>
      <c r="H494" s="1135"/>
      <c r="I494" s="1135"/>
      <c r="J494" s="1135"/>
      <c r="K494" s="1135"/>
      <c r="L494" s="1135"/>
    </row>
    <row r="495" spans="1:12">
      <c r="A495" s="1132"/>
      <c r="B495" s="1132"/>
      <c r="D495" s="1132"/>
      <c r="E495" s="1135"/>
      <c r="F495" s="1135"/>
      <c r="G495" s="1135"/>
      <c r="H495" s="1135"/>
      <c r="I495" s="1135"/>
      <c r="J495" s="1135"/>
      <c r="K495" s="1135"/>
      <c r="L495" s="1135"/>
    </row>
    <row r="496" spans="1:12">
      <c r="A496" s="1132"/>
      <c r="B496" s="1132"/>
      <c r="D496" s="1132"/>
      <c r="E496" s="1135"/>
      <c r="F496" s="1135"/>
      <c r="G496" s="1135"/>
      <c r="H496" s="1135"/>
      <c r="I496" s="1135"/>
      <c r="J496" s="1135"/>
      <c r="K496" s="1135"/>
      <c r="L496" s="1135"/>
    </row>
    <row r="497" spans="1:12">
      <c r="A497" s="1132"/>
      <c r="B497" s="1132"/>
      <c r="D497" s="1132"/>
      <c r="E497" s="1135"/>
      <c r="F497" s="1135"/>
      <c r="G497" s="1135"/>
      <c r="H497" s="1135"/>
      <c r="I497" s="1135"/>
      <c r="J497" s="1135"/>
      <c r="K497" s="1135"/>
      <c r="L497" s="1135"/>
    </row>
    <row r="498" spans="1:12">
      <c r="A498" s="1132"/>
      <c r="B498" s="1132"/>
      <c r="D498" s="1132"/>
      <c r="E498" s="1135"/>
      <c r="F498" s="1135"/>
      <c r="G498" s="1135"/>
      <c r="H498" s="1135"/>
      <c r="I498" s="1135"/>
      <c r="J498" s="1135"/>
      <c r="K498" s="1135"/>
      <c r="L498" s="1135"/>
    </row>
    <row r="499" spans="1:12">
      <c r="A499" s="1132"/>
      <c r="B499" s="1132"/>
      <c r="D499" s="1132"/>
      <c r="E499" s="1135"/>
      <c r="F499" s="1135"/>
      <c r="G499" s="1135"/>
      <c r="H499" s="1135"/>
      <c r="I499" s="1135"/>
      <c r="J499" s="1135"/>
      <c r="K499" s="1135"/>
      <c r="L499" s="1135"/>
    </row>
    <row r="500" spans="1:12">
      <c r="A500" s="1132"/>
      <c r="B500" s="1132"/>
      <c r="D500" s="1132"/>
      <c r="E500" s="1135"/>
      <c r="F500" s="1135"/>
      <c r="G500" s="1135"/>
      <c r="H500" s="1135"/>
      <c r="I500" s="1135"/>
      <c r="J500" s="1135"/>
      <c r="K500" s="1135"/>
      <c r="L500" s="1135"/>
    </row>
    <row r="501" spans="1:12">
      <c r="A501" s="1132"/>
      <c r="B501" s="1132"/>
      <c r="D501" s="1132"/>
      <c r="E501" s="1135"/>
      <c r="F501" s="1135"/>
      <c r="G501" s="1135"/>
      <c r="H501" s="1135"/>
      <c r="I501" s="1135"/>
      <c r="J501" s="1135"/>
      <c r="K501" s="1135"/>
      <c r="L501" s="1135"/>
    </row>
    <row r="502" spans="1:12">
      <c r="A502" s="1132"/>
      <c r="B502" s="1132"/>
      <c r="D502" s="1132"/>
      <c r="E502" s="1135"/>
      <c r="F502" s="1135"/>
      <c r="G502" s="1135"/>
      <c r="H502" s="1135"/>
      <c r="I502" s="1135"/>
      <c r="J502" s="1135"/>
      <c r="K502" s="1135"/>
      <c r="L502" s="1135"/>
    </row>
    <row r="503" spans="1:12">
      <c r="A503" s="1132"/>
      <c r="B503" s="1132"/>
      <c r="D503" s="1132"/>
      <c r="E503" s="1135"/>
      <c r="F503" s="1135"/>
      <c r="G503" s="1135"/>
      <c r="H503" s="1135"/>
      <c r="I503" s="1135"/>
      <c r="J503" s="1135"/>
      <c r="K503" s="1135"/>
      <c r="L503" s="1135"/>
    </row>
    <row r="504" spans="1:12">
      <c r="A504" s="1132"/>
      <c r="B504" s="1132"/>
      <c r="D504" s="1132"/>
      <c r="E504" s="1135"/>
      <c r="F504" s="1135"/>
      <c r="G504" s="1135"/>
      <c r="H504" s="1135"/>
      <c r="I504" s="1135"/>
      <c r="J504" s="1135"/>
      <c r="K504" s="1135"/>
      <c r="L504" s="1135"/>
    </row>
    <row r="505" spans="1:12">
      <c r="A505" s="1132"/>
      <c r="B505" s="1132"/>
      <c r="D505" s="1132"/>
      <c r="E505" s="1135"/>
      <c r="F505" s="1135"/>
      <c r="G505" s="1135"/>
      <c r="H505" s="1135"/>
      <c r="I505" s="1135"/>
      <c r="J505" s="1135"/>
      <c r="K505" s="1135"/>
      <c r="L505" s="1135"/>
    </row>
    <row r="506" spans="1:12">
      <c r="A506" s="1132"/>
      <c r="B506" s="1132"/>
      <c r="D506" s="1132"/>
      <c r="E506" s="1135"/>
      <c r="F506" s="1135"/>
      <c r="G506" s="1135"/>
      <c r="H506" s="1135"/>
      <c r="I506" s="1135"/>
      <c r="J506" s="1135"/>
      <c r="K506" s="1135"/>
      <c r="L506" s="1135"/>
    </row>
    <row r="507" spans="1:12">
      <c r="A507" s="1132"/>
      <c r="B507" s="1132"/>
      <c r="D507" s="1132"/>
      <c r="E507" s="1135"/>
      <c r="F507" s="1135"/>
      <c r="G507" s="1135"/>
      <c r="H507" s="1135"/>
      <c r="I507" s="1135"/>
      <c r="J507" s="1135"/>
      <c r="K507" s="1135"/>
      <c r="L507" s="1135"/>
    </row>
    <row r="508" spans="1:12">
      <c r="A508" s="1132"/>
      <c r="B508" s="1132"/>
      <c r="D508" s="1132"/>
      <c r="E508" s="1135"/>
      <c r="F508" s="1135"/>
      <c r="G508" s="1135"/>
      <c r="H508" s="1135"/>
      <c r="I508" s="1135"/>
      <c r="J508" s="1135"/>
      <c r="K508" s="1135"/>
      <c r="L508" s="1135"/>
    </row>
    <row r="509" spans="1:12">
      <c r="A509" s="1132"/>
      <c r="B509" s="1132"/>
      <c r="D509" s="1132"/>
      <c r="E509" s="1135"/>
      <c r="F509" s="1135"/>
      <c r="G509" s="1135"/>
      <c r="H509" s="1135"/>
      <c r="I509" s="1135"/>
      <c r="J509" s="1135"/>
      <c r="K509" s="1135"/>
      <c r="L509" s="1135"/>
    </row>
    <row r="510" spans="1:12">
      <c r="A510" s="1132"/>
      <c r="B510" s="1132"/>
      <c r="D510" s="1132"/>
      <c r="E510" s="1135"/>
      <c r="F510" s="1135"/>
      <c r="G510" s="1135"/>
      <c r="H510" s="1135"/>
      <c r="I510" s="1135"/>
      <c r="J510" s="1135"/>
      <c r="K510" s="1135"/>
      <c r="L510" s="1135"/>
    </row>
    <row r="511" spans="1:12">
      <c r="A511" s="1132"/>
      <c r="B511" s="1132"/>
      <c r="D511" s="1132"/>
      <c r="E511" s="1135"/>
      <c r="F511" s="1135"/>
      <c r="G511" s="1135"/>
      <c r="H511" s="1135"/>
      <c r="I511" s="1135"/>
      <c r="J511" s="1135"/>
      <c r="K511" s="1135"/>
      <c r="L511" s="1135"/>
    </row>
    <row r="512" spans="1:12">
      <c r="A512" s="1132"/>
      <c r="B512" s="1132"/>
      <c r="D512" s="1132"/>
      <c r="E512" s="1135"/>
      <c r="F512" s="1135"/>
      <c r="G512" s="1135"/>
      <c r="H512" s="1135"/>
      <c r="I512" s="1135"/>
      <c r="J512" s="1135"/>
      <c r="K512" s="1135"/>
      <c r="L512" s="1135"/>
    </row>
    <row r="513" spans="1:12">
      <c r="A513" s="1132"/>
      <c r="B513" s="1132"/>
      <c r="D513" s="1132"/>
      <c r="E513" s="1135"/>
      <c r="F513" s="1135"/>
      <c r="G513" s="1135"/>
      <c r="H513" s="1135"/>
      <c r="I513" s="1135"/>
      <c r="J513" s="1135"/>
      <c r="K513" s="1135"/>
      <c r="L513" s="1135"/>
    </row>
    <row r="514" spans="1:12">
      <c r="A514" s="1132"/>
      <c r="B514" s="1132"/>
      <c r="D514" s="1132"/>
      <c r="E514" s="1135"/>
      <c r="F514" s="1135"/>
      <c r="G514" s="1135"/>
      <c r="H514" s="1135"/>
      <c r="I514" s="1135"/>
      <c r="J514" s="1135"/>
      <c r="K514" s="1135"/>
      <c r="L514" s="1135"/>
    </row>
    <row r="515" spans="1:12">
      <c r="A515" s="1132"/>
      <c r="B515" s="1132"/>
      <c r="D515" s="1132"/>
      <c r="E515" s="1135"/>
      <c r="F515" s="1135"/>
      <c r="G515" s="1135"/>
      <c r="H515" s="1135"/>
      <c r="I515" s="1135"/>
      <c r="J515" s="1135"/>
      <c r="K515" s="1135"/>
      <c r="L515" s="1135"/>
    </row>
    <row r="516" spans="1:12">
      <c r="A516" s="1132"/>
      <c r="B516" s="1132"/>
      <c r="D516" s="1132"/>
      <c r="E516" s="1135"/>
      <c r="F516" s="1135"/>
      <c r="G516" s="1135"/>
      <c r="H516" s="1135"/>
      <c r="I516" s="1135"/>
      <c r="J516" s="1135"/>
      <c r="K516" s="1135"/>
      <c r="L516" s="1135"/>
    </row>
    <row r="517" spans="1:12">
      <c r="A517" s="1132"/>
      <c r="B517" s="1132"/>
      <c r="D517" s="1132"/>
      <c r="E517" s="1135"/>
      <c r="F517" s="1135"/>
      <c r="G517" s="1135"/>
      <c r="H517" s="1135"/>
      <c r="I517" s="1135"/>
      <c r="J517" s="1135"/>
      <c r="K517" s="1135"/>
      <c r="L517" s="1135"/>
    </row>
    <row r="518" spans="1:12">
      <c r="A518" s="1132"/>
      <c r="B518" s="1132"/>
      <c r="D518" s="1132"/>
      <c r="E518" s="1135"/>
      <c r="F518" s="1135"/>
      <c r="G518" s="1135"/>
      <c r="H518" s="1135"/>
      <c r="I518" s="1135"/>
      <c r="J518" s="1135"/>
      <c r="K518" s="1135"/>
      <c r="L518" s="1135"/>
    </row>
    <row r="519" spans="1:12">
      <c r="A519" s="1132"/>
      <c r="B519" s="1132"/>
      <c r="D519" s="1132"/>
      <c r="E519" s="1135"/>
      <c r="F519" s="1135"/>
      <c r="G519" s="1135"/>
      <c r="H519" s="1135"/>
      <c r="I519" s="1135"/>
      <c r="J519" s="1135"/>
      <c r="K519" s="1135"/>
      <c r="L519" s="1135"/>
    </row>
    <row r="520" spans="1:12">
      <c r="A520" s="1132"/>
      <c r="B520" s="1132"/>
      <c r="D520" s="1132"/>
      <c r="E520" s="1135"/>
      <c r="F520" s="1135"/>
      <c r="G520" s="1135"/>
      <c r="H520" s="1135"/>
      <c r="I520" s="1135"/>
      <c r="J520" s="1135"/>
      <c r="K520" s="1135"/>
      <c r="L520" s="1135"/>
    </row>
    <row r="521" spans="1:12">
      <c r="A521" s="1132"/>
      <c r="B521" s="1132"/>
      <c r="D521" s="1132"/>
      <c r="E521" s="1135"/>
      <c r="F521" s="1135"/>
      <c r="G521" s="1135"/>
      <c r="H521" s="1135"/>
      <c r="I521" s="1135"/>
      <c r="J521" s="1135"/>
      <c r="K521" s="1135"/>
      <c r="L521" s="1135"/>
    </row>
    <row r="522" spans="1:12">
      <c r="A522" s="1132"/>
      <c r="B522" s="1132"/>
      <c r="D522" s="1132"/>
      <c r="E522" s="1135"/>
      <c r="F522" s="1135"/>
      <c r="G522" s="1135"/>
      <c r="H522" s="1135"/>
      <c r="I522" s="1135"/>
      <c r="J522" s="1135"/>
      <c r="K522" s="1135"/>
      <c r="L522" s="1135"/>
    </row>
    <row r="523" spans="1:12">
      <c r="A523" s="1132"/>
      <c r="B523" s="1132"/>
      <c r="D523" s="1132"/>
      <c r="E523" s="1135"/>
      <c r="F523" s="1135"/>
      <c r="G523" s="1135"/>
      <c r="H523" s="1135"/>
      <c r="I523" s="1135"/>
      <c r="J523" s="1135"/>
      <c r="K523" s="1135"/>
      <c r="L523" s="1135"/>
    </row>
    <row r="524" spans="1:12">
      <c r="A524" s="1132"/>
      <c r="B524" s="1132"/>
      <c r="D524" s="1132"/>
      <c r="E524" s="1135"/>
      <c r="F524" s="1135"/>
      <c r="G524" s="1135"/>
      <c r="H524" s="1135"/>
      <c r="I524" s="1135"/>
      <c r="J524" s="1135"/>
      <c r="K524" s="1135"/>
      <c r="L524" s="1135"/>
    </row>
    <row r="525" spans="1:12">
      <c r="A525" s="1132"/>
      <c r="B525" s="1132"/>
      <c r="D525" s="1132"/>
      <c r="E525" s="1135"/>
      <c r="F525" s="1135"/>
      <c r="G525" s="1135"/>
      <c r="H525" s="1135"/>
      <c r="I525" s="1135"/>
      <c r="J525" s="1135"/>
      <c r="K525" s="1135"/>
      <c r="L525" s="1135"/>
    </row>
    <row r="526" spans="1:12">
      <c r="A526" s="1132"/>
      <c r="B526" s="1132"/>
      <c r="D526" s="1132"/>
      <c r="E526" s="1135"/>
      <c r="F526" s="1135"/>
      <c r="G526" s="1135"/>
      <c r="H526" s="1135"/>
      <c r="I526" s="1135"/>
      <c r="J526" s="1135"/>
      <c r="K526" s="1135"/>
      <c r="L526" s="1135"/>
    </row>
    <row r="527" spans="1:12">
      <c r="A527" s="1132"/>
      <c r="B527" s="1132"/>
      <c r="D527" s="1132"/>
      <c r="E527" s="1135"/>
      <c r="F527" s="1135"/>
      <c r="G527" s="1135"/>
      <c r="H527" s="1135"/>
      <c r="I527" s="1135"/>
      <c r="J527" s="1135"/>
      <c r="K527" s="1135"/>
      <c r="L527" s="1135"/>
    </row>
    <row r="528" spans="1:12">
      <c r="A528" s="1132"/>
      <c r="B528" s="1132"/>
      <c r="D528" s="1132"/>
      <c r="E528" s="1135"/>
      <c r="F528" s="1135"/>
      <c r="G528" s="1135"/>
      <c r="H528" s="1135"/>
      <c r="I528" s="1135"/>
      <c r="J528" s="1135"/>
      <c r="K528" s="1135"/>
      <c r="L528" s="1135"/>
    </row>
    <row r="529" spans="1:12">
      <c r="A529" s="1132"/>
      <c r="B529" s="1132"/>
      <c r="D529" s="1132"/>
      <c r="E529" s="1135"/>
      <c r="F529" s="1135"/>
      <c r="G529" s="1135"/>
      <c r="H529" s="1135"/>
      <c r="I529" s="1135"/>
      <c r="J529" s="1135"/>
      <c r="K529" s="1135"/>
      <c r="L529" s="1135"/>
    </row>
    <row r="530" spans="1:12">
      <c r="A530" s="1132"/>
      <c r="B530" s="1132"/>
      <c r="D530" s="1132"/>
      <c r="E530" s="1135"/>
      <c r="F530" s="1135"/>
      <c r="G530" s="1135"/>
      <c r="H530" s="1135"/>
      <c r="I530" s="1135"/>
      <c r="J530" s="1135"/>
      <c r="K530" s="1135"/>
      <c r="L530" s="1135"/>
    </row>
    <row r="531" spans="1:12">
      <c r="A531" s="1132"/>
      <c r="B531" s="1132"/>
      <c r="D531" s="1132"/>
      <c r="E531" s="1135"/>
      <c r="F531" s="1135"/>
      <c r="G531" s="1135"/>
      <c r="H531" s="1135"/>
      <c r="I531" s="1135"/>
      <c r="J531" s="1135"/>
      <c r="K531" s="1135"/>
      <c r="L531" s="1135"/>
    </row>
    <row r="532" spans="1:12">
      <c r="A532" s="1132"/>
      <c r="B532" s="1132"/>
      <c r="D532" s="1132"/>
      <c r="E532" s="1135"/>
      <c r="F532" s="1135"/>
      <c r="G532" s="1135"/>
      <c r="H532" s="1135"/>
      <c r="I532" s="1135"/>
      <c r="J532" s="1135"/>
      <c r="K532" s="1135"/>
      <c r="L532" s="1135"/>
    </row>
    <row r="533" spans="1:12">
      <c r="A533" s="1132"/>
      <c r="B533" s="1132"/>
      <c r="D533" s="1132"/>
      <c r="E533" s="1135"/>
      <c r="F533" s="1135"/>
      <c r="G533" s="1135"/>
      <c r="H533" s="1135"/>
      <c r="I533" s="1135"/>
      <c r="J533" s="1135"/>
      <c r="K533" s="1135"/>
      <c r="L533" s="1135"/>
    </row>
    <row r="534" spans="1:12">
      <c r="A534" s="1132"/>
      <c r="B534" s="1132"/>
      <c r="D534" s="1132"/>
      <c r="E534" s="1135"/>
      <c r="F534" s="1135"/>
      <c r="G534" s="1135"/>
      <c r="H534" s="1135"/>
      <c r="I534" s="1135"/>
      <c r="J534" s="1135"/>
      <c r="K534" s="1135"/>
      <c r="L534" s="1135"/>
    </row>
    <row r="535" spans="1:12">
      <c r="A535" s="1132"/>
      <c r="B535" s="1132"/>
      <c r="D535" s="1132"/>
      <c r="E535" s="1135"/>
      <c r="F535" s="1135"/>
      <c r="G535" s="1135"/>
      <c r="H535" s="1135"/>
      <c r="I535" s="1135"/>
      <c r="J535" s="1135"/>
      <c r="K535" s="1135"/>
      <c r="L535" s="1135"/>
    </row>
    <row r="536" spans="1:12">
      <c r="A536" s="1132"/>
      <c r="B536" s="1132"/>
      <c r="D536" s="1132"/>
      <c r="E536" s="1135"/>
      <c r="F536" s="1135"/>
      <c r="G536" s="1135"/>
      <c r="H536" s="1135"/>
      <c r="I536" s="1135"/>
      <c r="J536" s="1135"/>
      <c r="K536" s="1135"/>
      <c r="L536" s="1135"/>
    </row>
    <row r="537" spans="1:12">
      <c r="A537" s="1132"/>
      <c r="B537" s="1132"/>
      <c r="D537" s="1132"/>
      <c r="E537" s="1135"/>
      <c r="F537" s="1135"/>
      <c r="G537" s="1135"/>
      <c r="H537" s="1135"/>
      <c r="I537" s="1135"/>
      <c r="J537" s="1135"/>
      <c r="K537" s="1135"/>
      <c r="L537" s="1135"/>
    </row>
    <row r="538" spans="1:12">
      <c r="A538" s="1132"/>
      <c r="B538" s="1132"/>
      <c r="D538" s="1132"/>
      <c r="E538" s="1135"/>
      <c r="F538" s="1135"/>
      <c r="G538" s="1135"/>
      <c r="H538" s="1135"/>
      <c r="I538" s="1135"/>
      <c r="J538" s="1135"/>
      <c r="K538" s="1135"/>
      <c r="L538" s="1135"/>
    </row>
    <row r="539" spans="1:12">
      <c r="A539" s="1132"/>
      <c r="B539" s="1132"/>
      <c r="D539" s="1132"/>
      <c r="E539" s="1135"/>
      <c r="F539" s="1135"/>
      <c r="G539" s="1135"/>
      <c r="H539" s="1135"/>
      <c r="I539" s="1135"/>
      <c r="J539" s="1135"/>
      <c r="K539" s="1135"/>
      <c r="L539" s="1135"/>
    </row>
    <row r="540" spans="1:12">
      <c r="A540" s="1132"/>
      <c r="B540" s="1132"/>
      <c r="D540" s="1132"/>
      <c r="E540" s="1135"/>
      <c r="F540" s="1135"/>
      <c r="G540" s="1135"/>
      <c r="H540" s="1135"/>
      <c r="I540" s="1135"/>
      <c r="J540" s="1135"/>
      <c r="K540" s="1135"/>
      <c r="L540" s="1135"/>
    </row>
    <row r="541" spans="1:12">
      <c r="A541" s="1132"/>
      <c r="B541" s="1132"/>
      <c r="D541" s="1132"/>
      <c r="E541" s="1135"/>
      <c r="F541" s="1135"/>
      <c r="G541" s="1135"/>
      <c r="H541" s="1135"/>
      <c r="I541" s="1135"/>
      <c r="J541" s="1135"/>
      <c r="K541" s="1135"/>
      <c r="L541" s="1135"/>
    </row>
    <row r="542" spans="1:12">
      <c r="A542" s="1132"/>
      <c r="B542" s="1132"/>
      <c r="D542" s="1132"/>
      <c r="E542" s="1135"/>
      <c r="F542" s="1135"/>
      <c r="G542" s="1135"/>
      <c r="H542" s="1135"/>
      <c r="I542" s="1135"/>
      <c r="J542" s="1135"/>
      <c r="K542" s="1135"/>
      <c r="L542" s="1135"/>
    </row>
    <row r="543" spans="1:12">
      <c r="A543" s="1132"/>
      <c r="B543" s="1132"/>
      <c r="D543" s="1132"/>
      <c r="E543" s="1135"/>
      <c r="F543" s="1135"/>
      <c r="G543" s="1135"/>
      <c r="H543" s="1135"/>
      <c r="I543" s="1135"/>
      <c r="J543" s="1135"/>
      <c r="K543" s="1135"/>
      <c r="L543" s="1135"/>
    </row>
    <row r="544" spans="1:12">
      <c r="A544" s="1132"/>
      <c r="B544" s="1132"/>
      <c r="D544" s="1132"/>
      <c r="E544" s="1135"/>
      <c r="F544" s="1135"/>
      <c r="G544" s="1135"/>
      <c r="H544" s="1135"/>
      <c r="I544" s="1135"/>
      <c r="J544" s="1135"/>
      <c r="K544" s="1135"/>
      <c r="L544" s="1135"/>
    </row>
    <row r="545" spans="1:12">
      <c r="A545" s="1132"/>
      <c r="B545" s="1132"/>
      <c r="D545" s="1132"/>
      <c r="E545" s="1135"/>
      <c r="F545" s="1135"/>
      <c r="G545" s="1135"/>
      <c r="H545" s="1135"/>
      <c r="I545" s="1135"/>
      <c r="J545" s="1135"/>
      <c r="K545" s="1135"/>
      <c r="L545" s="1135"/>
    </row>
    <row r="546" spans="1:12">
      <c r="A546" s="1132"/>
      <c r="B546" s="1132"/>
      <c r="D546" s="1132"/>
      <c r="E546" s="1135"/>
      <c r="F546" s="1135"/>
      <c r="G546" s="1135"/>
      <c r="H546" s="1135"/>
      <c r="I546" s="1135"/>
      <c r="J546" s="1135"/>
      <c r="K546" s="1135"/>
      <c r="L546" s="1135"/>
    </row>
    <row r="547" spans="1:12">
      <c r="A547" s="1132"/>
      <c r="B547" s="1132"/>
      <c r="D547" s="1132"/>
      <c r="E547" s="1135"/>
      <c r="F547" s="1135"/>
      <c r="G547" s="1135"/>
      <c r="H547" s="1135"/>
      <c r="I547" s="1135"/>
      <c r="J547" s="1135"/>
      <c r="K547" s="1135"/>
      <c r="L547" s="1135"/>
    </row>
    <row r="548" spans="1:12">
      <c r="A548" s="1132"/>
      <c r="B548" s="1132"/>
      <c r="D548" s="1132"/>
      <c r="E548" s="1135"/>
      <c r="F548" s="1135"/>
      <c r="G548" s="1135"/>
      <c r="H548" s="1135"/>
      <c r="I548" s="1135"/>
      <c r="J548" s="1135"/>
      <c r="K548" s="1135"/>
      <c r="L548" s="1135"/>
    </row>
    <row r="549" spans="1:12">
      <c r="A549" s="1132"/>
      <c r="B549" s="1132"/>
      <c r="D549" s="1132"/>
      <c r="E549" s="1135"/>
      <c r="F549" s="1135"/>
      <c r="G549" s="1135"/>
      <c r="H549" s="1135"/>
      <c r="I549" s="1135"/>
      <c r="J549" s="1135"/>
      <c r="K549" s="1135"/>
      <c r="L549" s="1135"/>
    </row>
    <row r="550" spans="1:12">
      <c r="A550" s="1132"/>
      <c r="B550" s="1132"/>
      <c r="D550" s="1132"/>
      <c r="E550" s="1135"/>
      <c r="F550" s="1135"/>
      <c r="G550" s="1135"/>
      <c r="H550" s="1135"/>
      <c r="I550" s="1135"/>
      <c r="J550" s="1135"/>
      <c r="K550" s="1135"/>
      <c r="L550" s="1135"/>
    </row>
    <row r="551" spans="1:12">
      <c r="A551" s="1132"/>
      <c r="B551" s="1132"/>
      <c r="D551" s="1132"/>
      <c r="E551" s="1135"/>
      <c r="F551" s="1135"/>
      <c r="G551" s="1135"/>
      <c r="H551" s="1135"/>
      <c r="I551" s="1135"/>
      <c r="J551" s="1135"/>
      <c r="K551" s="1135"/>
      <c r="L551" s="1135"/>
    </row>
    <row r="552" spans="1:12">
      <c r="A552" s="1132"/>
      <c r="B552" s="1132"/>
      <c r="D552" s="1132"/>
      <c r="E552" s="1135"/>
      <c r="F552" s="1135"/>
      <c r="G552" s="1135"/>
      <c r="H552" s="1135"/>
      <c r="I552" s="1135"/>
      <c r="J552" s="1135"/>
      <c r="K552" s="1135"/>
      <c r="L552" s="1135"/>
    </row>
    <row r="553" spans="1:12">
      <c r="A553" s="1132"/>
    </row>
  </sheetData>
  <phoneticPr fontId="3" type="noConversion"/>
  <printOptions horizontalCentered="1"/>
  <pageMargins left="0.74803149606299213" right="0.19685039370078741" top="0.78740157480314965" bottom="1.1811023622047245" header="0.51181102362204722" footer="0.51181102362204722"/>
  <pageSetup paperSize="9" scale="90" orientation="portrait" r:id="rId1"/>
  <rowBreaks count="5" manualBreakCount="5">
    <brk id="33" max="16383" man="1"/>
    <brk id="62" max="16383" man="1"/>
    <brk id="92" max="16383" man="1"/>
    <brk id="113" max="16383" man="1"/>
    <brk id="15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H236"/>
  <sheetViews>
    <sheetView topLeftCell="A7" zoomScaleSheetLayoutView="100" workbookViewId="0">
      <selection activeCell="G15" sqref="G15"/>
    </sheetView>
  </sheetViews>
  <sheetFormatPr defaultRowHeight="12"/>
  <cols>
    <col min="1" max="1" width="3.25" style="1131" customWidth="1"/>
    <col min="2" max="2" width="2.5" style="1131" customWidth="1"/>
    <col min="3" max="3" width="5.5" style="1132" customWidth="1"/>
    <col min="4" max="4" width="18.125" style="1131" customWidth="1"/>
    <col min="5" max="6" width="13.875" style="1131" customWidth="1"/>
    <col min="7" max="8" width="13.875" style="1134" customWidth="1"/>
    <col min="9" max="9" width="13.375" style="1134" customWidth="1"/>
    <col min="10" max="16384" width="9" style="1134"/>
  </cols>
  <sheetData>
    <row r="1" spans="1:8" s="1026" customFormat="1" ht="32.1" customHeight="1">
      <c r="A1" s="1121" t="s">
        <v>5573</v>
      </c>
      <c r="B1" s="1023"/>
      <c r="C1" s="1024"/>
      <c r="D1" s="1023"/>
      <c r="E1" s="1023"/>
      <c r="F1" s="1023"/>
      <c r="G1" s="1024"/>
      <c r="H1" s="1024"/>
    </row>
    <row r="2" spans="1:8" s="1026" customFormat="1" ht="12" customHeight="1">
      <c r="A2" s="1083"/>
      <c r="B2" s="1023"/>
      <c r="C2" s="1024"/>
      <c r="D2" s="1023"/>
      <c r="E2" s="1023"/>
      <c r="F2" s="1023"/>
      <c r="G2" s="1024"/>
      <c r="H2" s="1024"/>
    </row>
    <row r="3" spans="1:8" s="1031" customFormat="1" ht="12" customHeight="1">
      <c r="A3" s="1028" t="s">
        <v>5663</v>
      </c>
      <c r="B3" s="1029"/>
      <c r="C3" s="1029"/>
      <c r="D3" s="1029"/>
      <c r="E3" s="1029"/>
      <c r="F3" s="1029"/>
      <c r="G3" s="1083"/>
      <c r="H3" s="1083"/>
    </row>
    <row r="4" spans="1:8" s="1031" customFormat="1" ht="15.75" customHeight="1">
      <c r="A4" s="1028" t="s">
        <v>5574</v>
      </c>
      <c r="B4" s="1029"/>
      <c r="C4" s="1029"/>
      <c r="D4" s="1029"/>
      <c r="E4" s="1029"/>
      <c r="F4" s="1029"/>
      <c r="G4" s="1083"/>
      <c r="H4" s="1083"/>
    </row>
    <row r="5" spans="1:8" s="1031" customFormat="1" ht="7.5" customHeight="1">
      <c r="A5" s="1029"/>
      <c r="B5" s="1029"/>
      <c r="C5" s="1029"/>
      <c r="D5" s="1029"/>
      <c r="E5" s="1029"/>
      <c r="F5" s="1029"/>
    </row>
    <row r="6" spans="1:8" s="1035" customFormat="1" ht="8.1" customHeight="1">
      <c r="A6" s="1032"/>
      <c r="B6" s="1032"/>
      <c r="C6" s="1033"/>
      <c r="D6" s="1032"/>
      <c r="E6" s="1032"/>
      <c r="F6" s="1032"/>
    </row>
    <row r="7" spans="1:8" s="1035" customFormat="1" ht="12" customHeight="1">
      <c r="A7" s="1036" t="s">
        <v>5397</v>
      </c>
      <c r="B7" s="1032"/>
      <c r="C7" s="1033"/>
      <c r="D7" s="1032"/>
      <c r="E7" s="1032"/>
      <c r="F7" s="1032"/>
      <c r="H7" s="1032" t="s">
        <v>5575</v>
      </c>
    </row>
    <row r="8" spans="1:8" s="1035" customFormat="1" ht="12" customHeight="1">
      <c r="A8" s="1037"/>
      <c r="B8" s="1032"/>
      <c r="C8" s="1033"/>
      <c r="D8" s="1032"/>
      <c r="E8" s="1032"/>
      <c r="F8" s="1032"/>
    </row>
    <row r="9" spans="1:8" s="1035" customFormat="1" ht="5.0999999999999996" customHeight="1">
      <c r="A9" s="1038"/>
      <c r="B9" s="1039"/>
      <c r="C9" s="1040"/>
      <c r="D9" s="1041"/>
      <c r="E9" s="1136"/>
      <c r="F9" s="1137"/>
      <c r="G9" s="1137"/>
      <c r="H9" s="1137"/>
    </row>
    <row r="10" spans="1:8" s="1035" customFormat="1" ht="14.1" customHeight="1">
      <c r="A10" s="1233" t="s">
        <v>77</v>
      </c>
      <c r="B10" s="1234"/>
      <c r="C10" s="1234"/>
      <c r="D10" s="1235"/>
      <c r="E10" s="1233" t="s">
        <v>5576</v>
      </c>
      <c r="F10" s="1236" t="s">
        <v>5577</v>
      </c>
      <c r="G10" s="1236" t="s">
        <v>5578</v>
      </c>
      <c r="H10" s="1236" t="s">
        <v>5579</v>
      </c>
    </row>
    <row r="11" spans="1:8" s="1" customFormat="1" ht="14.1" customHeight="1">
      <c r="A11" s="1233"/>
      <c r="B11" s="1234"/>
      <c r="C11" s="1234"/>
      <c r="D11" s="1235"/>
      <c r="E11" s="1233"/>
      <c r="F11" s="1236"/>
      <c r="G11" s="1236"/>
      <c r="H11" s="1236"/>
    </row>
    <row r="12" spans="1:8" s="1035" customFormat="1" ht="5.0999999999999996" customHeight="1">
      <c r="A12" s="1048"/>
      <c r="B12" s="1049"/>
      <c r="C12" s="1049"/>
      <c r="D12" s="1050"/>
      <c r="E12" s="1138"/>
      <c r="F12" s="1138"/>
      <c r="G12" s="1138"/>
      <c r="H12" s="1138"/>
    </row>
    <row r="13" spans="1:8" s="1035" customFormat="1" ht="22.5" customHeight="1">
      <c r="A13" s="1058" t="s">
        <v>5580</v>
      </c>
      <c r="B13" s="1139" t="s">
        <v>5659</v>
      </c>
      <c r="C13" s="1109"/>
      <c r="D13" s="1065"/>
      <c r="E13" s="1140">
        <v>8248701122</v>
      </c>
      <c r="F13" s="1140">
        <v>1770424</v>
      </c>
      <c r="G13" s="1140">
        <v>1639225814.3320317</v>
      </c>
      <c r="H13" s="1140">
        <v>9889697360.3320312</v>
      </c>
    </row>
    <row r="14" spans="1:8" s="1035" customFormat="1" ht="22.5" customHeight="1">
      <c r="A14" s="1058"/>
      <c r="B14" s="1063" t="s">
        <v>25</v>
      </c>
      <c r="C14" s="1139" t="s">
        <v>1152</v>
      </c>
      <c r="D14" s="1065"/>
      <c r="E14" s="1140">
        <v>0</v>
      </c>
      <c r="F14" s="1140">
        <v>0</v>
      </c>
      <c r="G14" s="1140">
        <v>-933424278</v>
      </c>
      <c r="H14" s="1140">
        <v>-933424278</v>
      </c>
    </row>
    <row r="15" spans="1:8" s="1035" customFormat="1" ht="22.5" customHeight="1">
      <c r="A15" s="1044"/>
      <c r="B15" s="1063" t="s">
        <v>34</v>
      </c>
      <c r="C15" s="1139" t="s">
        <v>5581</v>
      </c>
      <c r="D15" s="1065"/>
      <c r="E15" s="1140">
        <v>4926000</v>
      </c>
      <c r="F15" s="1140">
        <v>0</v>
      </c>
      <c r="G15" s="1140">
        <v>0</v>
      </c>
      <c r="H15" s="1140">
        <v>4926000</v>
      </c>
    </row>
    <row r="16" spans="1:8" s="1035" customFormat="1" ht="22.5" customHeight="1">
      <c r="A16" s="1044"/>
      <c r="B16" s="1063" t="s">
        <v>35</v>
      </c>
      <c r="C16" s="1139" t="s">
        <v>5582</v>
      </c>
      <c r="D16" s="1065"/>
      <c r="E16" s="1140">
        <v>0</v>
      </c>
      <c r="F16" s="1140">
        <v>0</v>
      </c>
      <c r="G16" s="1140">
        <v>0</v>
      </c>
      <c r="H16" s="1140">
        <v>0</v>
      </c>
    </row>
    <row r="17" spans="1:8" s="1035" customFormat="1" ht="22.5" customHeight="1">
      <c r="A17" s="1044"/>
      <c r="B17" s="1063" t="s">
        <v>36</v>
      </c>
      <c r="C17" s="1139" t="s">
        <v>142</v>
      </c>
      <c r="D17" s="1065"/>
      <c r="E17" s="1140">
        <v>0</v>
      </c>
      <c r="F17" s="1140">
        <v>5453630</v>
      </c>
      <c r="G17" s="1140">
        <v>0</v>
      </c>
      <c r="H17" s="1140">
        <v>5453630</v>
      </c>
    </row>
    <row r="18" spans="1:8" s="1035" customFormat="1" ht="22.5" customHeight="1">
      <c r="A18" s="1058" t="s">
        <v>5583</v>
      </c>
      <c r="B18" s="1139" t="s">
        <v>5660</v>
      </c>
      <c r="C18" s="1109"/>
      <c r="D18" s="1059"/>
      <c r="E18" s="1141">
        <v>8253627122</v>
      </c>
      <c r="F18" s="1141">
        <v>7224054</v>
      </c>
      <c r="G18" s="1141">
        <v>705801536.33203173</v>
      </c>
      <c r="H18" s="1141">
        <v>8966652712.3320312</v>
      </c>
    </row>
    <row r="19" spans="1:8" s="1035" customFormat="1" ht="22.5" customHeight="1">
      <c r="A19" s="1058" t="s">
        <v>5584</v>
      </c>
      <c r="B19" s="1139" t="s">
        <v>5661</v>
      </c>
      <c r="C19" s="1109"/>
      <c r="D19" s="1065"/>
      <c r="E19" s="1140">
        <f>E18</f>
        <v>8253627122</v>
      </c>
      <c r="F19" s="1140">
        <f t="shared" ref="F19:H19" si="0">F18</f>
        <v>7224054</v>
      </c>
      <c r="G19" s="1140">
        <f t="shared" si="0"/>
        <v>705801536.33203173</v>
      </c>
      <c r="H19" s="1140">
        <f t="shared" si="0"/>
        <v>8966652712.3320312</v>
      </c>
    </row>
    <row r="20" spans="1:8" s="1035" customFormat="1" ht="22.5" customHeight="1">
      <c r="A20" s="1044"/>
      <c r="B20" s="1063" t="s">
        <v>5585</v>
      </c>
      <c r="C20" s="1139" t="s">
        <v>5586</v>
      </c>
      <c r="D20" s="1065"/>
      <c r="E20" s="1140"/>
      <c r="F20" s="1140"/>
      <c r="G20" s="1140">
        <f>+FS!F90</f>
        <v>-268590723</v>
      </c>
      <c r="H20" s="1140">
        <f>SUM(E20:G20)</f>
        <v>-268590723</v>
      </c>
    </row>
    <row r="21" spans="1:8" s="1035" customFormat="1" ht="22.5" customHeight="1">
      <c r="A21" s="1044"/>
      <c r="B21" s="1063" t="s">
        <v>34</v>
      </c>
      <c r="C21" s="1139" t="s">
        <v>5587</v>
      </c>
      <c r="D21" s="1065"/>
      <c r="E21" s="1140">
        <f>+FS!E53-FS!G53</f>
        <v>129754067</v>
      </c>
      <c r="F21" s="1140"/>
      <c r="G21" s="1140"/>
      <c r="H21" s="1140">
        <f t="shared" ref="H21:H23" si="1">SUM(E21:G21)</f>
        <v>129754067</v>
      </c>
    </row>
    <row r="22" spans="1:8" s="1035" customFormat="1" ht="22.5" customHeight="1">
      <c r="A22" s="1044"/>
      <c r="B22" s="1063" t="s">
        <v>35</v>
      </c>
      <c r="C22" s="1139" t="s">
        <v>5588</v>
      </c>
      <c r="D22" s="1065"/>
      <c r="E22" s="1140"/>
      <c r="F22" s="1140">
        <f>-F19</f>
        <v>-7224054</v>
      </c>
      <c r="G22" s="1140"/>
      <c r="H22" s="1140">
        <f t="shared" si="1"/>
        <v>-7224054</v>
      </c>
    </row>
    <row r="23" spans="1:8" s="1035" customFormat="1" ht="22.5" customHeight="1">
      <c r="A23" s="1044"/>
      <c r="B23" s="1063" t="s">
        <v>36</v>
      </c>
      <c r="C23" s="1139" t="s">
        <v>5589</v>
      </c>
      <c r="D23" s="1065"/>
      <c r="E23" s="1140"/>
      <c r="F23" s="1140"/>
      <c r="G23" s="1140"/>
      <c r="H23" s="1140">
        <f t="shared" si="1"/>
        <v>0</v>
      </c>
    </row>
    <row r="24" spans="1:8" s="1035" customFormat="1" ht="22.5" customHeight="1">
      <c r="A24" s="1058" t="s">
        <v>5590</v>
      </c>
      <c r="B24" s="1139" t="s">
        <v>5662</v>
      </c>
      <c r="C24" s="1109"/>
      <c r="D24" s="1059"/>
      <c r="E24" s="1141">
        <f>SUM(E19:E23)</f>
        <v>8383381189</v>
      </c>
      <c r="F24" s="1141">
        <f t="shared" ref="F24:G24" si="2">SUM(F19:F23)</f>
        <v>0</v>
      </c>
      <c r="G24" s="1141">
        <f t="shared" si="2"/>
        <v>437210813.33203173</v>
      </c>
      <c r="H24" s="1141">
        <f>SUM(E24:G24)</f>
        <v>8820592002.3320312</v>
      </c>
    </row>
    <row r="25" spans="1:8" s="1035" customFormat="1" ht="12.75" customHeight="1">
      <c r="A25" s="142"/>
      <c r="B25" s="1142"/>
      <c r="C25" s="1142"/>
      <c r="D25" s="1050"/>
      <c r="E25" s="1143"/>
      <c r="F25" s="1144"/>
      <c r="G25" s="1143"/>
      <c r="H25" s="1143">
        <f>+H24-FS!F58</f>
        <v>0.33203125</v>
      </c>
    </row>
    <row r="26" spans="1:8" s="1035" customFormat="1" ht="16.5" customHeight="1">
      <c r="A26" s="1"/>
      <c r="B26" s="1109"/>
      <c r="C26" s="1109"/>
      <c r="D26" s="1065"/>
      <c r="E26" s="1065"/>
      <c r="F26" s="1145"/>
      <c r="G26" s="1065"/>
      <c r="H26" s="1065"/>
    </row>
    <row r="27" spans="1:8" s="1035" customFormat="1" ht="22.5" customHeight="1">
      <c r="A27" s="1028" t="s">
        <v>5591</v>
      </c>
      <c r="B27" s="1100"/>
      <c r="C27" s="1083"/>
      <c r="D27" s="1083"/>
      <c r="E27" s="1083"/>
      <c r="F27" s="1146"/>
      <c r="G27" s="1083"/>
      <c r="H27" s="1083"/>
    </row>
    <row r="28" spans="1:8" s="1035" customFormat="1" ht="18" customHeight="1">
      <c r="A28" s="1032"/>
      <c r="B28" s="1032"/>
      <c r="C28" s="1033"/>
      <c r="D28" s="1032"/>
      <c r="E28" s="1032"/>
      <c r="F28" s="1032"/>
    </row>
    <row r="29" spans="1:8" s="1035" customFormat="1" ht="18" customHeight="1">
      <c r="A29" s="1032"/>
      <c r="B29" s="1032"/>
      <c r="C29" s="1033"/>
      <c r="D29" s="1032"/>
      <c r="E29" s="1032"/>
      <c r="F29" s="1032"/>
    </row>
    <row r="30" spans="1:8" s="1035" customFormat="1" ht="18" customHeight="1">
      <c r="A30" s="1032"/>
      <c r="B30" s="1032"/>
      <c r="C30" s="1033"/>
      <c r="D30" s="1032"/>
      <c r="E30" s="1032"/>
      <c r="F30" s="1032"/>
    </row>
    <row r="31" spans="1:8" s="1035" customFormat="1" ht="18" customHeight="1">
      <c r="A31" s="1032"/>
      <c r="B31" s="1032"/>
      <c r="C31" s="1033"/>
      <c r="D31" s="1032"/>
      <c r="E31" s="1032"/>
      <c r="F31" s="1032"/>
    </row>
    <row r="32" spans="1:8" s="1035" customFormat="1" ht="18" customHeight="1">
      <c r="A32" s="1032"/>
      <c r="B32" s="1032"/>
      <c r="C32" s="1033"/>
      <c r="D32" s="1032"/>
      <c r="E32" s="1032"/>
      <c r="F32" s="1032"/>
    </row>
    <row r="33" spans="1:6" s="1035" customFormat="1" ht="18" customHeight="1">
      <c r="A33" s="1032"/>
      <c r="B33" s="1032"/>
      <c r="C33" s="1033"/>
      <c r="D33" s="1032"/>
      <c r="E33" s="1032"/>
      <c r="F33" s="1032"/>
    </row>
    <row r="34" spans="1:6" s="1035" customFormat="1" ht="18" customHeight="1">
      <c r="A34" s="1032"/>
      <c r="B34" s="1032"/>
      <c r="C34" s="1033"/>
      <c r="D34" s="1032"/>
      <c r="E34" s="1032"/>
      <c r="F34" s="1032"/>
    </row>
    <row r="35" spans="1:6" s="1035" customFormat="1" ht="18" customHeight="1">
      <c r="A35" s="1032"/>
      <c r="B35" s="1032"/>
      <c r="C35" s="1033"/>
      <c r="D35" s="1032"/>
      <c r="E35" s="1032"/>
      <c r="F35" s="1032"/>
    </row>
    <row r="36" spans="1:6" s="1035" customFormat="1" ht="18" customHeight="1">
      <c r="A36" s="1032"/>
      <c r="B36" s="1032"/>
      <c r="C36" s="1033"/>
      <c r="D36" s="1032"/>
      <c r="E36" s="1032"/>
      <c r="F36" s="1032"/>
    </row>
    <row r="37" spans="1:6" s="1035" customFormat="1" ht="18" customHeight="1">
      <c r="A37" s="1032"/>
      <c r="B37" s="1032"/>
      <c r="C37" s="1033"/>
      <c r="D37" s="1032"/>
      <c r="E37" s="1032"/>
      <c r="F37" s="1032"/>
    </row>
    <row r="38" spans="1:6" s="1035" customFormat="1" ht="18" customHeight="1">
      <c r="A38" s="1032"/>
      <c r="B38" s="1032"/>
      <c r="C38" s="1033"/>
      <c r="D38" s="1032"/>
      <c r="E38" s="1032"/>
      <c r="F38" s="1032"/>
    </row>
    <row r="39" spans="1:6" s="1035" customFormat="1" ht="18" customHeight="1">
      <c r="A39" s="1032"/>
      <c r="B39" s="1032"/>
      <c r="C39" s="1033"/>
      <c r="D39" s="1032"/>
      <c r="E39" s="1032"/>
      <c r="F39" s="1032"/>
    </row>
    <row r="40" spans="1:6" s="1035" customFormat="1" ht="18" customHeight="1">
      <c r="A40" s="1032"/>
      <c r="B40" s="1032"/>
      <c r="C40" s="1033"/>
      <c r="D40" s="1032"/>
      <c r="E40" s="1032"/>
      <c r="F40" s="1032"/>
    </row>
    <row r="41" spans="1:6" s="1035" customFormat="1" ht="18" customHeight="1">
      <c r="A41" s="1032"/>
      <c r="B41" s="1032"/>
      <c r="C41" s="1033"/>
      <c r="D41" s="1032"/>
      <c r="E41" s="1032"/>
      <c r="F41" s="1032"/>
    </row>
    <row r="42" spans="1:6" s="1035" customFormat="1" ht="18" customHeight="1">
      <c r="A42" s="1032"/>
      <c r="B42" s="1032"/>
      <c r="C42" s="1033"/>
      <c r="D42" s="1032"/>
      <c r="E42" s="1032"/>
      <c r="F42" s="1032"/>
    </row>
    <row r="43" spans="1:6" s="1035" customFormat="1" ht="18" customHeight="1">
      <c r="A43" s="1032"/>
      <c r="B43" s="1032"/>
      <c r="C43" s="1033"/>
      <c r="D43" s="1032"/>
      <c r="E43" s="1032"/>
      <c r="F43" s="1032"/>
    </row>
    <row r="44" spans="1:6" s="1035" customFormat="1" ht="18" customHeight="1">
      <c r="A44" s="1032"/>
      <c r="B44" s="1032"/>
      <c r="C44" s="1033"/>
      <c r="D44" s="1032"/>
      <c r="E44" s="1032"/>
      <c r="F44" s="1032"/>
    </row>
    <row r="45" spans="1:6" s="1035" customFormat="1" ht="18" customHeight="1">
      <c r="A45" s="1032"/>
      <c r="B45" s="1032"/>
      <c r="C45" s="1033"/>
      <c r="D45" s="1032"/>
      <c r="E45" s="1032"/>
      <c r="F45" s="1032"/>
    </row>
    <row r="46" spans="1:6" s="1035" customFormat="1" ht="18" customHeight="1">
      <c r="A46" s="1032"/>
      <c r="B46" s="1032"/>
      <c r="C46" s="1033"/>
      <c r="D46" s="1032"/>
      <c r="E46" s="1032"/>
      <c r="F46" s="1032"/>
    </row>
    <row r="47" spans="1:6" s="1035" customFormat="1" ht="18" customHeight="1">
      <c r="A47" s="1032"/>
      <c r="B47" s="1032"/>
      <c r="C47" s="1033"/>
      <c r="D47" s="1032"/>
      <c r="E47" s="1032"/>
      <c r="F47" s="1032"/>
    </row>
    <row r="48" spans="1:6" s="1035" customFormat="1" ht="18" customHeight="1">
      <c r="A48" s="1032"/>
      <c r="B48" s="1032"/>
      <c r="C48" s="1033"/>
      <c r="D48" s="1032"/>
      <c r="E48" s="1032"/>
      <c r="F48" s="1032"/>
    </row>
    <row r="49" spans="1:6" s="1035" customFormat="1" ht="18" customHeight="1">
      <c r="A49" s="1032"/>
      <c r="B49" s="1032"/>
      <c r="C49" s="1033"/>
      <c r="D49" s="1032"/>
      <c r="E49" s="1032"/>
      <c r="F49" s="1032"/>
    </row>
    <row r="50" spans="1:6" s="1035" customFormat="1" ht="18" customHeight="1">
      <c r="A50" s="1032"/>
      <c r="B50" s="1032"/>
      <c r="C50" s="1033"/>
      <c r="D50" s="1032"/>
      <c r="E50" s="1032"/>
      <c r="F50" s="1032"/>
    </row>
    <row r="51" spans="1:6" s="1035" customFormat="1" ht="18" customHeight="1">
      <c r="A51" s="1032"/>
      <c r="B51" s="1032"/>
      <c r="C51" s="1033"/>
      <c r="D51" s="1032"/>
      <c r="E51" s="1032"/>
      <c r="F51" s="1032"/>
    </row>
    <row r="52" spans="1:6" s="1035" customFormat="1" ht="18" customHeight="1">
      <c r="A52" s="1032"/>
      <c r="B52" s="1032"/>
      <c r="C52" s="1033"/>
      <c r="D52" s="1032"/>
      <c r="E52" s="1032"/>
      <c r="F52" s="1032"/>
    </row>
    <row r="53" spans="1:6" s="1035" customFormat="1" ht="18" customHeight="1">
      <c r="A53" s="1032"/>
      <c r="B53" s="1032"/>
      <c r="C53" s="1033"/>
      <c r="D53" s="1032"/>
      <c r="E53" s="1032"/>
      <c r="F53" s="1032"/>
    </row>
    <row r="54" spans="1:6" s="1035" customFormat="1" ht="18" customHeight="1">
      <c r="A54" s="1032"/>
      <c r="B54" s="1032"/>
      <c r="C54" s="1033"/>
      <c r="D54" s="1032"/>
      <c r="E54" s="1032"/>
      <c r="F54" s="1032"/>
    </row>
    <row r="55" spans="1:6" s="1035" customFormat="1" ht="18" customHeight="1">
      <c r="A55" s="1032"/>
      <c r="B55" s="1032"/>
      <c r="C55" s="1033"/>
      <c r="D55" s="1032"/>
      <c r="E55" s="1032"/>
      <c r="F55" s="1032"/>
    </row>
    <row r="56" spans="1:6" s="1035" customFormat="1" ht="18" customHeight="1">
      <c r="A56" s="1032"/>
      <c r="B56" s="1032"/>
      <c r="C56" s="1033"/>
      <c r="D56" s="1032"/>
      <c r="E56" s="1032"/>
      <c r="F56" s="1032"/>
    </row>
    <row r="57" spans="1:6" s="1035" customFormat="1" ht="18" customHeight="1">
      <c r="A57" s="1032"/>
      <c r="B57" s="1032"/>
      <c r="C57" s="1033"/>
      <c r="D57" s="1032"/>
      <c r="E57" s="1032"/>
      <c r="F57" s="1032"/>
    </row>
    <row r="58" spans="1:6" s="1035" customFormat="1" ht="18" customHeight="1">
      <c r="A58" s="1032"/>
      <c r="B58" s="1032"/>
      <c r="C58" s="1033"/>
      <c r="D58" s="1032"/>
      <c r="E58" s="1032"/>
      <c r="F58" s="1032"/>
    </row>
    <row r="59" spans="1:6" s="1035" customFormat="1" ht="18" customHeight="1">
      <c r="A59" s="1032"/>
      <c r="B59" s="1032"/>
      <c r="C59" s="1033"/>
      <c r="D59" s="1032"/>
      <c r="E59" s="1032"/>
      <c r="F59" s="1032"/>
    </row>
    <row r="60" spans="1:6" s="1035" customFormat="1" ht="18" customHeight="1">
      <c r="A60" s="1032"/>
      <c r="B60" s="1032"/>
      <c r="C60" s="1033"/>
      <c r="D60" s="1032"/>
      <c r="E60" s="1032"/>
      <c r="F60" s="1032"/>
    </row>
    <row r="61" spans="1:6" s="1035" customFormat="1" ht="18" customHeight="1">
      <c r="A61" s="1032"/>
      <c r="B61" s="1032"/>
      <c r="C61" s="1033"/>
      <c r="D61" s="1032"/>
      <c r="E61" s="1032"/>
      <c r="F61" s="1032"/>
    </row>
    <row r="62" spans="1:6" s="1035" customFormat="1" ht="18" customHeight="1">
      <c r="A62" s="1032"/>
      <c r="B62" s="1032"/>
      <c r="C62" s="1033"/>
      <c r="D62" s="1032"/>
      <c r="E62" s="1032"/>
      <c r="F62" s="1032"/>
    </row>
    <row r="63" spans="1:6" s="1035" customFormat="1" ht="18" customHeight="1">
      <c r="A63" s="1032"/>
      <c r="B63" s="1032"/>
      <c r="C63" s="1033"/>
      <c r="D63" s="1032"/>
      <c r="E63" s="1032"/>
      <c r="F63" s="1032"/>
    </row>
    <row r="64" spans="1:6" s="1035" customFormat="1" ht="18" customHeight="1">
      <c r="A64" s="1032"/>
      <c r="B64" s="1032"/>
      <c r="C64" s="1033"/>
      <c r="D64" s="1032"/>
      <c r="E64" s="1032"/>
      <c r="F64" s="1032"/>
    </row>
    <row r="65" spans="1:6" s="1035" customFormat="1" ht="18" customHeight="1">
      <c r="A65" s="1032"/>
      <c r="B65" s="1032"/>
      <c r="C65" s="1033"/>
      <c r="D65" s="1032"/>
      <c r="E65" s="1032"/>
      <c r="F65" s="1032"/>
    </row>
    <row r="66" spans="1:6" s="1035" customFormat="1" ht="18" customHeight="1">
      <c r="A66" s="1032"/>
      <c r="B66" s="1032"/>
      <c r="C66" s="1033"/>
      <c r="D66" s="1032"/>
      <c r="E66" s="1032"/>
      <c r="F66" s="1032"/>
    </row>
    <row r="67" spans="1:6" s="1035" customFormat="1" ht="18" customHeight="1">
      <c r="A67" s="1032"/>
      <c r="B67" s="1032"/>
      <c r="C67" s="1033"/>
      <c r="D67" s="1032"/>
      <c r="E67" s="1032"/>
      <c r="F67" s="1032"/>
    </row>
    <row r="68" spans="1:6" s="1035" customFormat="1" ht="18" customHeight="1">
      <c r="A68" s="1032"/>
      <c r="B68" s="1032"/>
      <c r="C68" s="1033"/>
      <c r="D68" s="1032"/>
      <c r="E68" s="1032"/>
      <c r="F68" s="1032"/>
    </row>
    <row r="69" spans="1:6" s="1035" customFormat="1" ht="18" customHeight="1">
      <c r="A69" s="1032"/>
      <c r="B69" s="1032"/>
      <c r="C69" s="1033"/>
      <c r="D69" s="1032"/>
      <c r="E69" s="1032"/>
      <c r="F69" s="1032"/>
    </row>
    <row r="70" spans="1:6" s="1035" customFormat="1" ht="18" customHeight="1">
      <c r="A70" s="1032"/>
      <c r="B70" s="1032"/>
      <c r="C70" s="1033"/>
      <c r="D70" s="1032"/>
      <c r="E70" s="1032"/>
      <c r="F70" s="1032"/>
    </row>
    <row r="71" spans="1:6" s="1035" customFormat="1" ht="18" customHeight="1">
      <c r="A71" s="1032"/>
      <c r="B71" s="1032"/>
      <c r="C71" s="1033"/>
      <c r="D71" s="1032"/>
      <c r="E71" s="1032"/>
      <c r="F71" s="1032"/>
    </row>
    <row r="72" spans="1:6" s="1035" customFormat="1" ht="18" customHeight="1">
      <c r="A72" s="1032"/>
      <c r="B72" s="1032"/>
      <c r="C72" s="1033"/>
      <c r="D72" s="1032"/>
      <c r="E72" s="1032"/>
      <c r="F72" s="1032"/>
    </row>
    <row r="73" spans="1:6" s="1035" customFormat="1" ht="18" customHeight="1">
      <c r="A73" s="1032"/>
      <c r="B73" s="1032"/>
      <c r="C73" s="1033"/>
      <c r="D73" s="1032"/>
      <c r="E73" s="1032"/>
      <c r="F73" s="1032"/>
    </row>
    <row r="74" spans="1:6" s="1035" customFormat="1" ht="18" customHeight="1">
      <c r="A74" s="1032"/>
      <c r="B74" s="1032"/>
      <c r="C74" s="1033"/>
      <c r="D74" s="1032"/>
      <c r="E74" s="1032"/>
      <c r="F74" s="1032"/>
    </row>
    <row r="75" spans="1:6" s="1035" customFormat="1" ht="18" customHeight="1">
      <c r="A75" s="1032"/>
      <c r="B75" s="1032"/>
      <c r="C75" s="1033"/>
      <c r="D75" s="1032"/>
      <c r="E75" s="1032"/>
      <c r="F75" s="1032"/>
    </row>
    <row r="76" spans="1:6" s="1035" customFormat="1" ht="18" customHeight="1">
      <c r="A76" s="1032"/>
      <c r="B76" s="1032"/>
      <c r="C76" s="1033"/>
      <c r="D76" s="1032"/>
      <c r="E76" s="1032"/>
      <c r="F76" s="1032"/>
    </row>
    <row r="77" spans="1:6" s="1035" customFormat="1" ht="18" customHeight="1">
      <c r="A77" s="1032"/>
      <c r="B77" s="1032"/>
      <c r="C77" s="1033"/>
      <c r="D77" s="1032"/>
      <c r="E77" s="1032"/>
      <c r="F77" s="1032"/>
    </row>
    <row r="78" spans="1:6" s="1035" customFormat="1" ht="18" customHeight="1">
      <c r="A78" s="1032"/>
      <c r="B78" s="1032"/>
      <c r="C78" s="1033"/>
      <c r="D78" s="1032"/>
      <c r="E78" s="1032"/>
      <c r="F78" s="1032"/>
    </row>
    <row r="79" spans="1:6" s="1035" customFormat="1" ht="18" customHeight="1">
      <c r="A79" s="1032"/>
      <c r="B79" s="1032"/>
      <c r="C79" s="1033"/>
      <c r="D79" s="1032"/>
      <c r="E79" s="1032"/>
      <c r="F79" s="1032"/>
    </row>
    <row r="80" spans="1:6" s="1035" customFormat="1" ht="18" customHeight="1">
      <c r="A80" s="1032"/>
      <c r="B80" s="1032"/>
      <c r="C80" s="1033"/>
      <c r="D80" s="1032"/>
      <c r="E80" s="1032"/>
      <c r="F80" s="1032"/>
    </row>
    <row r="81" spans="1:6" s="1035" customFormat="1" ht="18" customHeight="1">
      <c r="A81" s="1032"/>
      <c r="B81" s="1032"/>
      <c r="C81" s="1033"/>
      <c r="D81" s="1032"/>
      <c r="E81" s="1032"/>
      <c r="F81" s="1032"/>
    </row>
    <row r="82" spans="1:6" s="1035" customFormat="1" ht="18" customHeight="1">
      <c r="A82" s="1032"/>
      <c r="B82" s="1032"/>
      <c r="C82" s="1033"/>
      <c r="D82" s="1032"/>
      <c r="E82" s="1032"/>
      <c r="F82" s="1032"/>
    </row>
    <row r="83" spans="1:6" s="1035" customFormat="1" ht="18" customHeight="1">
      <c r="A83" s="1032"/>
      <c r="B83" s="1032"/>
      <c r="C83" s="1033"/>
      <c r="D83" s="1032"/>
      <c r="E83" s="1032"/>
      <c r="F83" s="1032"/>
    </row>
    <row r="84" spans="1:6" s="1035" customFormat="1" ht="18" customHeight="1">
      <c r="A84" s="1032"/>
      <c r="B84" s="1032"/>
      <c r="C84" s="1033"/>
      <c r="D84" s="1032"/>
      <c r="E84" s="1032"/>
      <c r="F84" s="1032"/>
    </row>
    <row r="85" spans="1:6" s="1035" customFormat="1" ht="18" customHeight="1">
      <c r="A85" s="1032"/>
      <c r="B85" s="1032"/>
      <c r="C85" s="1033"/>
      <c r="D85" s="1032"/>
      <c r="E85" s="1032"/>
      <c r="F85" s="1032"/>
    </row>
    <row r="86" spans="1:6" s="1035" customFormat="1" ht="18" customHeight="1">
      <c r="A86" s="1032"/>
      <c r="B86" s="1032"/>
      <c r="C86" s="1033"/>
      <c r="D86" s="1032"/>
      <c r="E86" s="1032"/>
      <c r="F86" s="1032"/>
    </row>
    <row r="87" spans="1:6" s="1035" customFormat="1" ht="18" customHeight="1">
      <c r="A87" s="1032"/>
      <c r="B87" s="1032"/>
      <c r="C87" s="1033"/>
      <c r="D87" s="1032"/>
      <c r="E87" s="1032"/>
      <c r="F87" s="1032"/>
    </row>
    <row r="88" spans="1:6" s="1035" customFormat="1" ht="18" customHeight="1">
      <c r="A88" s="1032"/>
      <c r="B88" s="1032"/>
      <c r="C88" s="1033"/>
      <c r="D88" s="1032"/>
      <c r="E88" s="1032"/>
      <c r="F88" s="1032"/>
    </row>
    <row r="89" spans="1:6" s="1035" customFormat="1" ht="18" customHeight="1">
      <c r="A89" s="1032"/>
      <c r="B89" s="1032"/>
      <c r="C89" s="1033"/>
      <c r="D89" s="1032"/>
      <c r="E89" s="1032"/>
      <c r="F89" s="1032"/>
    </row>
    <row r="90" spans="1:6" s="1035" customFormat="1" ht="18" customHeight="1">
      <c r="A90" s="1032"/>
      <c r="B90" s="1032"/>
      <c r="C90" s="1033"/>
      <c r="D90" s="1032"/>
      <c r="E90" s="1032"/>
      <c r="F90" s="1032"/>
    </row>
    <row r="91" spans="1:6" s="1035" customFormat="1" ht="18" customHeight="1">
      <c r="A91" s="1032"/>
      <c r="B91" s="1032"/>
      <c r="C91" s="1033"/>
      <c r="D91" s="1032"/>
      <c r="E91" s="1032"/>
      <c r="F91" s="1032"/>
    </row>
    <row r="92" spans="1:6" s="1035" customFormat="1" ht="18" customHeight="1">
      <c r="A92" s="1032"/>
      <c r="B92" s="1032"/>
      <c r="C92" s="1033"/>
      <c r="D92" s="1032"/>
      <c r="E92" s="1032"/>
      <c r="F92" s="1032"/>
    </row>
    <row r="93" spans="1:6" s="1035" customFormat="1" ht="18" customHeight="1">
      <c r="A93" s="1032"/>
      <c r="B93" s="1032"/>
      <c r="C93" s="1033"/>
      <c r="D93" s="1032"/>
      <c r="E93" s="1032"/>
      <c r="F93" s="1032"/>
    </row>
    <row r="94" spans="1:6" s="1035" customFormat="1" ht="18" customHeight="1">
      <c r="A94" s="1032"/>
      <c r="B94" s="1032"/>
      <c r="C94" s="1033"/>
      <c r="D94" s="1032"/>
      <c r="E94" s="1032"/>
      <c r="F94" s="1032"/>
    </row>
    <row r="95" spans="1:6" s="1035" customFormat="1" ht="18" customHeight="1">
      <c r="A95" s="1032"/>
      <c r="B95" s="1032"/>
      <c r="C95" s="1033"/>
      <c r="D95" s="1032"/>
      <c r="E95" s="1032"/>
      <c r="F95" s="1032"/>
    </row>
    <row r="96" spans="1:6" s="1035" customFormat="1" ht="18" customHeight="1">
      <c r="A96" s="1032"/>
      <c r="B96" s="1032"/>
      <c r="C96" s="1033"/>
      <c r="D96" s="1032"/>
      <c r="E96" s="1032"/>
      <c r="F96" s="1032"/>
    </row>
    <row r="97" spans="1:6" s="1035" customFormat="1" ht="18" customHeight="1">
      <c r="A97" s="1032"/>
      <c r="B97" s="1032"/>
      <c r="C97" s="1033"/>
      <c r="D97" s="1032"/>
      <c r="E97" s="1032"/>
      <c r="F97" s="1032"/>
    </row>
    <row r="98" spans="1:6" s="1035" customFormat="1" ht="18" customHeight="1">
      <c r="A98" s="1032"/>
      <c r="B98" s="1032"/>
      <c r="C98" s="1033"/>
      <c r="D98" s="1032"/>
      <c r="E98" s="1032"/>
      <c r="F98" s="1032"/>
    </row>
    <row r="99" spans="1:6" s="1035" customFormat="1" ht="18" customHeight="1">
      <c r="A99" s="1032"/>
      <c r="B99" s="1032"/>
      <c r="C99" s="1033"/>
      <c r="D99" s="1032"/>
      <c r="E99" s="1032"/>
      <c r="F99" s="1032"/>
    </row>
    <row r="100" spans="1:6" s="1035" customFormat="1" ht="18" customHeight="1">
      <c r="A100" s="1032"/>
      <c r="B100" s="1032"/>
      <c r="C100" s="1033"/>
      <c r="D100" s="1032"/>
      <c r="E100" s="1032"/>
      <c r="F100" s="1032"/>
    </row>
    <row r="101" spans="1:6" s="1035" customFormat="1" ht="18" customHeight="1">
      <c r="A101" s="1032"/>
      <c r="B101" s="1032"/>
      <c r="C101" s="1033"/>
      <c r="D101" s="1032"/>
      <c r="E101" s="1032"/>
      <c r="F101" s="1032"/>
    </row>
    <row r="102" spans="1:6" s="1035" customFormat="1" ht="18" customHeight="1">
      <c r="A102" s="1032"/>
      <c r="B102" s="1032"/>
      <c r="C102" s="1033"/>
      <c r="D102" s="1032"/>
      <c r="E102" s="1032"/>
      <c r="F102" s="1032"/>
    </row>
    <row r="103" spans="1:6" s="1035" customFormat="1" ht="18" customHeight="1">
      <c r="A103" s="1032"/>
      <c r="B103" s="1032"/>
      <c r="C103" s="1033"/>
      <c r="D103" s="1032"/>
      <c r="E103" s="1032"/>
      <c r="F103" s="1032"/>
    </row>
    <row r="104" spans="1:6" ht="18" customHeight="1">
      <c r="A104" s="1032"/>
    </row>
    <row r="105" spans="1:6" ht="18" customHeight="1"/>
    <row r="106" spans="1:6" ht="18" customHeight="1"/>
    <row r="107" spans="1:6" ht="18" customHeight="1"/>
    <row r="108" spans="1:6" ht="18" customHeight="1"/>
    <row r="109" spans="1:6" ht="18" customHeight="1"/>
    <row r="110" spans="1:6" ht="18" customHeight="1"/>
    <row r="111" spans="1:6" ht="18" customHeight="1"/>
    <row r="112" spans="1:6" ht="18" customHeight="1"/>
    <row r="113" spans="1:6" ht="18" customHeight="1">
      <c r="B113" s="1132"/>
      <c r="D113" s="1132"/>
      <c r="E113" s="1132"/>
      <c r="F113" s="1132"/>
    </row>
    <row r="114" spans="1:6" ht="18" customHeight="1">
      <c r="A114" s="1132"/>
      <c r="B114" s="1132"/>
      <c r="D114" s="1132"/>
      <c r="E114" s="1132"/>
      <c r="F114" s="1132"/>
    </row>
    <row r="115" spans="1:6" ht="18" customHeight="1">
      <c r="A115" s="1132"/>
      <c r="B115" s="1132"/>
      <c r="D115" s="1132"/>
      <c r="E115" s="1132"/>
      <c r="F115" s="1132"/>
    </row>
    <row r="116" spans="1:6" ht="18" customHeight="1">
      <c r="A116" s="1132"/>
      <c r="B116" s="1132"/>
      <c r="D116" s="1132"/>
      <c r="E116" s="1132"/>
      <c r="F116" s="1132"/>
    </row>
    <row r="117" spans="1:6" ht="18" customHeight="1">
      <c r="A117" s="1132"/>
      <c r="B117" s="1132"/>
      <c r="D117" s="1132"/>
      <c r="E117" s="1132"/>
      <c r="F117" s="1132"/>
    </row>
    <row r="118" spans="1:6" ht="18" customHeight="1">
      <c r="A118" s="1132"/>
      <c r="B118" s="1132"/>
      <c r="D118" s="1132"/>
      <c r="E118" s="1132"/>
      <c r="F118" s="1132"/>
    </row>
    <row r="119" spans="1:6" ht="18" customHeight="1">
      <c r="A119" s="1132"/>
      <c r="B119" s="1132"/>
      <c r="D119" s="1132"/>
      <c r="E119" s="1132"/>
      <c r="F119" s="1132"/>
    </row>
    <row r="120" spans="1:6" ht="18" customHeight="1">
      <c r="A120" s="1132"/>
      <c r="B120" s="1132"/>
      <c r="D120" s="1132"/>
      <c r="E120" s="1132"/>
      <c r="F120" s="1132"/>
    </row>
    <row r="121" spans="1:6" ht="18" customHeight="1">
      <c r="A121" s="1132"/>
      <c r="B121" s="1132"/>
      <c r="D121" s="1132"/>
      <c r="E121" s="1132"/>
      <c r="F121" s="1132"/>
    </row>
    <row r="122" spans="1:6" ht="18" customHeight="1">
      <c r="A122" s="1132"/>
      <c r="B122" s="1132"/>
      <c r="D122" s="1132"/>
      <c r="E122" s="1132"/>
      <c r="F122" s="1132"/>
    </row>
    <row r="123" spans="1:6" ht="18" customHeight="1">
      <c r="A123" s="1132"/>
      <c r="B123" s="1132"/>
      <c r="D123" s="1132"/>
      <c r="E123" s="1132"/>
      <c r="F123" s="1132"/>
    </row>
    <row r="124" spans="1:6" ht="18" customHeight="1">
      <c r="A124" s="1132"/>
      <c r="B124" s="1132"/>
      <c r="D124" s="1132"/>
      <c r="E124" s="1132"/>
      <c r="F124" s="1132"/>
    </row>
    <row r="125" spans="1:6" ht="18" customHeight="1">
      <c r="A125" s="1132"/>
      <c r="B125" s="1132"/>
      <c r="D125" s="1132"/>
      <c r="E125" s="1132"/>
      <c r="F125" s="1132"/>
    </row>
    <row r="126" spans="1:6" ht="18" customHeight="1">
      <c r="A126" s="1132"/>
      <c r="B126" s="1132"/>
      <c r="D126" s="1132"/>
      <c r="E126" s="1132"/>
      <c r="F126" s="1132"/>
    </row>
    <row r="127" spans="1:6" ht="18" customHeight="1">
      <c r="A127" s="1132"/>
      <c r="B127" s="1132"/>
      <c r="D127" s="1132"/>
      <c r="E127" s="1132"/>
      <c r="F127" s="1132"/>
    </row>
    <row r="128" spans="1:6" ht="18" customHeight="1">
      <c r="A128" s="1132"/>
      <c r="B128" s="1132"/>
      <c r="D128" s="1132"/>
      <c r="E128" s="1132"/>
      <c r="F128" s="1132"/>
    </row>
    <row r="129" spans="1:6" ht="18" customHeight="1">
      <c r="A129" s="1132"/>
      <c r="B129" s="1132"/>
      <c r="D129" s="1132"/>
      <c r="E129" s="1132"/>
      <c r="F129" s="1132"/>
    </row>
    <row r="130" spans="1:6" ht="18" customHeight="1">
      <c r="A130" s="1132"/>
      <c r="B130" s="1132"/>
      <c r="D130" s="1132"/>
      <c r="E130" s="1132"/>
      <c r="F130" s="1132"/>
    </row>
    <row r="131" spans="1:6" ht="18" customHeight="1">
      <c r="A131" s="1132"/>
      <c r="B131" s="1132"/>
      <c r="D131" s="1132"/>
      <c r="E131" s="1132"/>
      <c r="F131" s="1132"/>
    </row>
    <row r="132" spans="1:6" ht="18" customHeight="1">
      <c r="A132" s="1132"/>
      <c r="B132" s="1132"/>
      <c r="D132" s="1132"/>
      <c r="E132" s="1132"/>
      <c r="F132" s="1132"/>
    </row>
    <row r="133" spans="1:6" ht="18" customHeight="1">
      <c r="A133" s="1132"/>
      <c r="B133" s="1132"/>
      <c r="D133" s="1132"/>
      <c r="E133" s="1132"/>
      <c r="F133" s="1132"/>
    </row>
    <row r="134" spans="1:6" ht="18" customHeight="1">
      <c r="A134" s="1132"/>
      <c r="B134" s="1132"/>
      <c r="D134" s="1132"/>
      <c r="E134" s="1132"/>
      <c r="F134" s="1132"/>
    </row>
    <row r="135" spans="1:6" ht="18" customHeight="1">
      <c r="A135" s="1132"/>
      <c r="B135" s="1132"/>
      <c r="D135" s="1132"/>
      <c r="E135" s="1132"/>
      <c r="F135" s="1132"/>
    </row>
    <row r="136" spans="1:6" ht="18" customHeight="1">
      <c r="A136" s="1132"/>
      <c r="B136" s="1132"/>
      <c r="D136" s="1132"/>
      <c r="E136" s="1132"/>
      <c r="F136" s="1132"/>
    </row>
    <row r="137" spans="1:6" ht="18" customHeight="1">
      <c r="A137" s="1132"/>
      <c r="B137" s="1132"/>
      <c r="D137" s="1132"/>
      <c r="E137" s="1132"/>
      <c r="F137" s="1132"/>
    </row>
    <row r="138" spans="1:6" ht="18" customHeight="1">
      <c r="A138" s="1132"/>
      <c r="B138" s="1132"/>
      <c r="D138" s="1132"/>
      <c r="E138" s="1132"/>
      <c r="F138" s="1132"/>
    </row>
    <row r="139" spans="1:6" ht="18" customHeight="1">
      <c r="A139" s="1132"/>
      <c r="B139" s="1132"/>
      <c r="D139" s="1132"/>
      <c r="E139" s="1132"/>
      <c r="F139" s="1132"/>
    </row>
    <row r="140" spans="1:6" ht="18" customHeight="1">
      <c r="A140" s="1132"/>
      <c r="B140" s="1132"/>
      <c r="D140" s="1132"/>
      <c r="E140" s="1132"/>
      <c r="F140" s="1132"/>
    </row>
    <row r="141" spans="1:6" ht="18" customHeight="1">
      <c r="A141" s="1132"/>
      <c r="B141" s="1132"/>
      <c r="D141" s="1132"/>
      <c r="E141" s="1132"/>
      <c r="F141" s="1132"/>
    </row>
    <row r="142" spans="1:6" ht="18" customHeight="1">
      <c r="A142" s="1132"/>
      <c r="B142" s="1132"/>
      <c r="D142" s="1132"/>
      <c r="E142" s="1132"/>
      <c r="F142" s="1132"/>
    </row>
    <row r="143" spans="1:6" ht="18" customHeight="1">
      <c r="A143" s="1132"/>
      <c r="B143" s="1132"/>
      <c r="D143" s="1132"/>
      <c r="E143" s="1132"/>
      <c r="F143" s="1132"/>
    </row>
    <row r="144" spans="1:6" ht="18" customHeight="1">
      <c r="A144" s="1132"/>
      <c r="B144" s="1132"/>
      <c r="D144" s="1132"/>
      <c r="E144" s="1132"/>
      <c r="F144" s="1132"/>
    </row>
    <row r="145" spans="1:6" ht="18" customHeight="1">
      <c r="A145" s="1132"/>
      <c r="B145" s="1132"/>
      <c r="D145" s="1132"/>
      <c r="E145" s="1132"/>
      <c r="F145" s="1132"/>
    </row>
    <row r="146" spans="1:6" ht="18" customHeight="1">
      <c r="A146" s="1132"/>
      <c r="B146" s="1132"/>
      <c r="D146" s="1132"/>
      <c r="E146" s="1132"/>
      <c r="F146" s="1132"/>
    </row>
    <row r="147" spans="1:6" ht="18" customHeight="1">
      <c r="A147" s="1132"/>
      <c r="B147" s="1132"/>
      <c r="D147" s="1132"/>
      <c r="E147" s="1132"/>
      <c r="F147" s="1132"/>
    </row>
    <row r="148" spans="1:6" ht="18" customHeight="1">
      <c r="A148" s="1132"/>
      <c r="B148" s="1132"/>
      <c r="D148" s="1132"/>
      <c r="E148" s="1132"/>
      <c r="F148" s="1132"/>
    </row>
    <row r="149" spans="1:6" ht="18" customHeight="1">
      <c r="A149" s="1132"/>
      <c r="B149" s="1132"/>
      <c r="D149" s="1132"/>
      <c r="E149" s="1132"/>
      <c r="F149" s="1132"/>
    </row>
    <row r="150" spans="1:6" ht="18" customHeight="1">
      <c r="A150" s="1132"/>
      <c r="B150" s="1132"/>
      <c r="D150" s="1132"/>
      <c r="E150" s="1132"/>
      <c r="F150" s="1132"/>
    </row>
    <row r="151" spans="1:6" ht="18" customHeight="1">
      <c r="A151" s="1132"/>
      <c r="B151" s="1132"/>
      <c r="D151" s="1132"/>
      <c r="E151" s="1132"/>
      <c r="F151" s="1132"/>
    </row>
    <row r="152" spans="1:6" ht="18" customHeight="1">
      <c r="A152" s="1132"/>
      <c r="B152" s="1132"/>
      <c r="D152" s="1132"/>
      <c r="E152" s="1132"/>
      <c r="F152" s="1132"/>
    </row>
    <row r="153" spans="1:6" ht="18" customHeight="1">
      <c r="A153" s="1132"/>
      <c r="B153" s="1132"/>
      <c r="D153" s="1132"/>
      <c r="E153" s="1132"/>
      <c r="F153" s="1132"/>
    </row>
    <row r="154" spans="1:6" ht="18" customHeight="1">
      <c r="A154" s="1132"/>
      <c r="B154" s="1132"/>
      <c r="D154" s="1132"/>
      <c r="E154" s="1132"/>
      <c r="F154" s="1132"/>
    </row>
    <row r="155" spans="1:6" ht="18" customHeight="1">
      <c r="A155" s="1132"/>
      <c r="B155" s="1132"/>
      <c r="D155" s="1132"/>
      <c r="E155" s="1132"/>
      <c r="F155" s="1132"/>
    </row>
    <row r="156" spans="1:6" ht="18" customHeight="1">
      <c r="A156" s="1132"/>
      <c r="B156" s="1132"/>
      <c r="D156" s="1132"/>
      <c r="E156" s="1132"/>
      <c r="F156" s="1132"/>
    </row>
    <row r="157" spans="1:6" ht="18" customHeight="1">
      <c r="A157" s="1132"/>
      <c r="B157" s="1132"/>
      <c r="D157" s="1132"/>
      <c r="E157" s="1132"/>
      <c r="F157" s="1132"/>
    </row>
    <row r="158" spans="1:6" ht="18" customHeight="1">
      <c r="A158" s="1132"/>
      <c r="B158" s="1132"/>
      <c r="D158" s="1132"/>
      <c r="E158" s="1132"/>
      <c r="F158" s="1132"/>
    </row>
    <row r="159" spans="1:6" ht="18" customHeight="1">
      <c r="A159" s="1132"/>
      <c r="B159" s="1132"/>
      <c r="D159" s="1132"/>
      <c r="E159" s="1132"/>
      <c r="F159" s="1132"/>
    </row>
    <row r="160" spans="1:6" ht="18" customHeight="1">
      <c r="A160" s="1132"/>
      <c r="B160" s="1132"/>
      <c r="D160" s="1132"/>
      <c r="E160" s="1132"/>
      <c r="F160" s="1132"/>
    </row>
    <row r="161" spans="1:6" ht="18" customHeight="1">
      <c r="A161" s="1132"/>
      <c r="B161" s="1132"/>
      <c r="D161" s="1132"/>
      <c r="E161" s="1132"/>
      <c r="F161" s="1132"/>
    </row>
    <row r="162" spans="1:6" ht="18" customHeight="1">
      <c r="A162" s="1132"/>
      <c r="B162" s="1132"/>
      <c r="D162" s="1132"/>
      <c r="E162" s="1132"/>
      <c r="F162" s="1132"/>
    </row>
    <row r="163" spans="1:6" ht="18" customHeight="1">
      <c r="A163" s="1132"/>
      <c r="B163" s="1132"/>
      <c r="D163" s="1132"/>
      <c r="E163" s="1132"/>
      <c r="F163" s="1132"/>
    </row>
    <row r="164" spans="1:6" ht="18" customHeight="1">
      <c r="A164" s="1132"/>
      <c r="B164" s="1132"/>
      <c r="D164" s="1132"/>
      <c r="E164" s="1132"/>
      <c r="F164" s="1132"/>
    </row>
    <row r="165" spans="1:6" ht="18" customHeight="1">
      <c r="A165" s="1132"/>
      <c r="B165" s="1132"/>
      <c r="D165" s="1132"/>
      <c r="E165" s="1132"/>
      <c r="F165" s="1132"/>
    </row>
    <row r="166" spans="1:6" ht="18" customHeight="1">
      <c r="A166" s="1132"/>
      <c r="B166" s="1132"/>
      <c r="D166" s="1132"/>
      <c r="E166" s="1132"/>
      <c r="F166" s="1132"/>
    </row>
    <row r="167" spans="1:6" ht="18" customHeight="1">
      <c r="A167" s="1132"/>
      <c r="B167" s="1132"/>
      <c r="D167" s="1132"/>
      <c r="E167" s="1132"/>
      <c r="F167" s="1132"/>
    </row>
    <row r="168" spans="1:6" ht="18" customHeight="1">
      <c r="A168" s="1132"/>
      <c r="B168" s="1132"/>
      <c r="D168" s="1132"/>
      <c r="E168" s="1132"/>
      <c r="F168" s="1132"/>
    </row>
    <row r="169" spans="1:6" ht="18" customHeight="1">
      <c r="A169" s="1132"/>
      <c r="B169" s="1132"/>
      <c r="D169" s="1132"/>
      <c r="E169" s="1132"/>
      <c r="F169" s="1132"/>
    </row>
    <row r="170" spans="1:6" ht="18" customHeight="1">
      <c r="A170" s="1132"/>
      <c r="B170" s="1132"/>
      <c r="D170" s="1132"/>
      <c r="E170" s="1132"/>
      <c r="F170" s="1132"/>
    </row>
    <row r="171" spans="1:6" ht="18" customHeight="1">
      <c r="A171" s="1132"/>
      <c r="B171" s="1132"/>
      <c r="D171" s="1132"/>
      <c r="E171" s="1132"/>
      <c r="F171" s="1132"/>
    </row>
    <row r="172" spans="1:6" ht="18" customHeight="1">
      <c r="A172" s="1132"/>
      <c r="B172" s="1132"/>
      <c r="D172" s="1132"/>
      <c r="E172" s="1132"/>
      <c r="F172" s="1132"/>
    </row>
    <row r="173" spans="1:6" ht="18" customHeight="1">
      <c r="A173" s="1132"/>
      <c r="B173" s="1132"/>
      <c r="D173" s="1132"/>
      <c r="E173" s="1132"/>
      <c r="F173" s="1132"/>
    </row>
    <row r="174" spans="1:6" ht="18" customHeight="1">
      <c r="A174" s="1132"/>
      <c r="B174" s="1132"/>
      <c r="D174" s="1132"/>
      <c r="E174" s="1132"/>
      <c r="F174" s="1132"/>
    </row>
    <row r="175" spans="1:6" ht="18" customHeight="1">
      <c r="A175" s="1132"/>
      <c r="B175" s="1132"/>
      <c r="D175" s="1132"/>
      <c r="E175" s="1132"/>
      <c r="F175" s="1132"/>
    </row>
    <row r="176" spans="1:6" ht="18" customHeight="1">
      <c r="A176" s="1132"/>
      <c r="B176" s="1132"/>
      <c r="D176" s="1132"/>
      <c r="E176" s="1132"/>
      <c r="F176" s="1132"/>
    </row>
    <row r="177" spans="1:6" ht="18" customHeight="1">
      <c r="A177" s="1132"/>
      <c r="B177" s="1132"/>
      <c r="D177" s="1132"/>
      <c r="E177" s="1132"/>
      <c r="F177" s="1132"/>
    </row>
    <row r="178" spans="1:6" ht="18" customHeight="1">
      <c r="A178" s="1132"/>
      <c r="B178" s="1132"/>
      <c r="D178" s="1132"/>
      <c r="E178" s="1132"/>
      <c r="F178" s="1132"/>
    </row>
    <row r="179" spans="1:6" ht="18" customHeight="1">
      <c r="A179" s="1132"/>
      <c r="B179" s="1132"/>
      <c r="D179" s="1132"/>
      <c r="E179" s="1132"/>
      <c r="F179" s="1132"/>
    </row>
    <row r="180" spans="1:6" ht="18" customHeight="1">
      <c r="A180" s="1132"/>
      <c r="B180" s="1132"/>
      <c r="D180" s="1132"/>
      <c r="E180" s="1132"/>
      <c r="F180" s="1132"/>
    </row>
    <row r="181" spans="1:6" ht="18" customHeight="1">
      <c r="A181" s="1132"/>
      <c r="B181" s="1132"/>
      <c r="D181" s="1132"/>
      <c r="E181" s="1132"/>
      <c r="F181" s="1132"/>
    </row>
    <row r="182" spans="1:6" ht="18" customHeight="1">
      <c r="A182" s="1132"/>
      <c r="B182" s="1132"/>
      <c r="D182" s="1132"/>
      <c r="E182" s="1132"/>
      <c r="F182" s="1132"/>
    </row>
    <row r="183" spans="1:6" ht="18" customHeight="1">
      <c r="A183" s="1132"/>
      <c r="B183" s="1132"/>
      <c r="D183" s="1132"/>
      <c r="E183" s="1132"/>
      <c r="F183" s="1132"/>
    </row>
    <row r="184" spans="1:6" ht="18" customHeight="1">
      <c r="A184" s="1132"/>
      <c r="B184" s="1132"/>
      <c r="D184" s="1132"/>
      <c r="E184" s="1132"/>
      <c r="F184" s="1132"/>
    </row>
    <row r="185" spans="1:6" ht="18" customHeight="1">
      <c r="A185" s="1132"/>
      <c r="B185" s="1132"/>
      <c r="D185" s="1132"/>
      <c r="E185" s="1132"/>
      <c r="F185" s="1132"/>
    </row>
    <row r="186" spans="1:6" ht="18" customHeight="1">
      <c r="A186" s="1132"/>
      <c r="B186" s="1132"/>
      <c r="D186" s="1132"/>
      <c r="E186" s="1132"/>
      <c r="F186" s="1132"/>
    </row>
    <row r="187" spans="1:6" ht="18" customHeight="1">
      <c r="A187" s="1132"/>
      <c r="B187" s="1132"/>
      <c r="D187" s="1132"/>
      <c r="E187" s="1132"/>
      <c r="F187" s="1132"/>
    </row>
    <row r="188" spans="1:6" ht="18" customHeight="1">
      <c r="A188" s="1132"/>
      <c r="B188" s="1132"/>
      <c r="D188" s="1132"/>
      <c r="E188" s="1132"/>
      <c r="F188" s="1132"/>
    </row>
    <row r="189" spans="1:6" ht="18" customHeight="1">
      <c r="A189" s="1132"/>
      <c r="B189" s="1132"/>
      <c r="D189" s="1132"/>
      <c r="E189" s="1132"/>
      <c r="F189" s="1132"/>
    </row>
    <row r="190" spans="1:6" ht="18" customHeight="1">
      <c r="A190" s="1132"/>
      <c r="B190" s="1132"/>
      <c r="D190" s="1132"/>
      <c r="E190" s="1132"/>
      <c r="F190" s="1132"/>
    </row>
    <row r="191" spans="1:6" ht="18" customHeight="1">
      <c r="A191" s="1132"/>
      <c r="B191" s="1132"/>
      <c r="D191" s="1132"/>
      <c r="E191" s="1132"/>
      <c r="F191" s="1132"/>
    </row>
    <row r="192" spans="1:6" ht="18" customHeight="1">
      <c r="A192" s="1132"/>
      <c r="B192" s="1132"/>
      <c r="D192" s="1132"/>
      <c r="E192" s="1132"/>
      <c r="F192" s="1132"/>
    </row>
    <row r="193" spans="1:6" ht="18" customHeight="1">
      <c r="A193" s="1132"/>
      <c r="B193" s="1132"/>
      <c r="D193" s="1132"/>
      <c r="E193" s="1132"/>
      <c r="F193" s="1132"/>
    </row>
    <row r="194" spans="1:6" ht="18" customHeight="1">
      <c r="A194" s="1132"/>
      <c r="B194" s="1132"/>
      <c r="D194" s="1132"/>
      <c r="E194" s="1132"/>
      <c r="F194" s="1132"/>
    </row>
    <row r="195" spans="1:6" ht="18" customHeight="1">
      <c r="A195" s="1132"/>
      <c r="B195" s="1132"/>
      <c r="D195" s="1132"/>
      <c r="E195" s="1132"/>
      <c r="F195" s="1132"/>
    </row>
    <row r="196" spans="1:6" ht="18" customHeight="1">
      <c r="A196" s="1132"/>
      <c r="B196" s="1132"/>
      <c r="D196" s="1132"/>
      <c r="E196" s="1132"/>
      <c r="F196" s="1132"/>
    </row>
    <row r="197" spans="1:6" ht="18" customHeight="1">
      <c r="A197" s="1132"/>
      <c r="B197" s="1132"/>
      <c r="D197" s="1132"/>
      <c r="E197" s="1132"/>
      <c r="F197" s="1132"/>
    </row>
    <row r="198" spans="1:6" ht="18" customHeight="1">
      <c r="A198" s="1132"/>
      <c r="B198" s="1132"/>
      <c r="D198" s="1132"/>
      <c r="E198" s="1132"/>
      <c r="F198" s="1132"/>
    </row>
    <row r="199" spans="1:6" ht="18" customHeight="1">
      <c r="A199" s="1132"/>
      <c r="B199" s="1132"/>
      <c r="D199" s="1132"/>
      <c r="E199" s="1132"/>
      <c r="F199" s="1132"/>
    </row>
    <row r="200" spans="1:6" ht="18" customHeight="1">
      <c r="A200" s="1132"/>
      <c r="B200" s="1132"/>
      <c r="D200" s="1132"/>
      <c r="E200" s="1132"/>
      <c r="F200" s="1132"/>
    </row>
    <row r="201" spans="1:6" ht="18" customHeight="1">
      <c r="A201" s="1132"/>
      <c r="B201" s="1132"/>
      <c r="D201" s="1132"/>
      <c r="E201" s="1132"/>
      <c r="F201" s="1132"/>
    </row>
    <row r="202" spans="1:6" ht="18" customHeight="1">
      <c r="A202" s="1132"/>
      <c r="B202" s="1132"/>
      <c r="D202" s="1132"/>
      <c r="E202" s="1132"/>
      <c r="F202" s="1132"/>
    </row>
    <row r="203" spans="1:6" ht="18" customHeight="1">
      <c r="A203" s="1132"/>
      <c r="B203" s="1132"/>
      <c r="D203" s="1132"/>
      <c r="E203" s="1132"/>
      <c r="F203" s="1132"/>
    </row>
    <row r="204" spans="1:6" ht="18" customHeight="1">
      <c r="A204" s="1132"/>
      <c r="B204" s="1132"/>
      <c r="D204" s="1132"/>
      <c r="E204" s="1132"/>
      <c r="F204" s="1132"/>
    </row>
    <row r="205" spans="1:6" ht="18" customHeight="1">
      <c r="A205" s="1132"/>
      <c r="B205" s="1132"/>
      <c r="D205" s="1132"/>
      <c r="E205" s="1132"/>
      <c r="F205" s="1132"/>
    </row>
    <row r="206" spans="1:6" ht="18" customHeight="1">
      <c r="A206" s="1132"/>
      <c r="B206" s="1132"/>
      <c r="D206" s="1132"/>
      <c r="E206" s="1132"/>
      <c r="F206" s="1132"/>
    </row>
    <row r="207" spans="1:6" ht="18" customHeight="1">
      <c r="A207" s="1132"/>
      <c r="B207" s="1132"/>
      <c r="D207" s="1132"/>
      <c r="E207" s="1132"/>
      <c r="F207" s="1132"/>
    </row>
    <row r="208" spans="1:6" ht="18" customHeight="1">
      <c r="A208" s="1132"/>
      <c r="B208" s="1132"/>
      <c r="D208" s="1132"/>
      <c r="E208" s="1132"/>
      <c r="F208" s="1132"/>
    </row>
    <row r="209" spans="1:6" ht="18" customHeight="1">
      <c r="A209" s="1132"/>
      <c r="B209" s="1132"/>
      <c r="D209" s="1132"/>
      <c r="E209" s="1132"/>
      <c r="F209" s="1132"/>
    </row>
    <row r="210" spans="1:6" ht="18" customHeight="1">
      <c r="A210" s="1132"/>
      <c r="B210" s="1132"/>
      <c r="D210" s="1132"/>
      <c r="E210" s="1132"/>
      <c r="F210" s="1132"/>
    </row>
    <row r="211" spans="1:6" ht="18" customHeight="1">
      <c r="A211" s="1132"/>
      <c r="B211" s="1132"/>
      <c r="D211" s="1132"/>
      <c r="E211" s="1132"/>
      <c r="F211" s="1132"/>
    </row>
    <row r="212" spans="1:6" ht="18" customHeight="1">
      <c r="A212" s="1132"/>
      <c r="B212" s="1132"/>
      <c r="D212" s="1132"/>
      <c r="E212" s="1132"/>
      <c r="F212" s="1132"/>
    </row>
    <row r="213" spans="1:6" ht="18" customHeight="1">
      <c r="A213" s="1132"/>
      <c r="B213" s="1132"/>
      <c r="D213" s="1132"/>
      <c r="E213" s="1132"/>
      <c r="F213" s="1132"/>
    </row>
    <row r="214" spans="1:6" ht="18" customHeight="1">
      <c r="A214" s="1132"/>
      <c r="B214" s="1132"/>
      <c r="D214" s="1132"/>
      <c r="E214" s="1132"/>
      <c r="F214" s="1132"/>
    </row>
    <row r="215" spans="1:6" ht="18" customHeight="1">
      <c r="A215" s="1132"/>
      <c r="B215" s="1132"/>
      <c r="D215" s="1132"/>
      <c r="E215" s="1132"/>
      <c r="F215" s="1132"/>
    </row>
    <row r="216" spans="1:6" ht="18" customHeight="1">
      <c r="A216" s="1132"/>
      <c r="B216" s="1132"/>
      <c r="D216" s="1132"/>
      <c r="E216" s="1132"/>
      <c r="F216" s="1132"/>
    </row>
    <row r="217" spans="1:6" ht="18" customHeight="1">
      <c r="A217" s="1132"/>
      <c r="B217" s="1132"/>
      <c r="D217" s="1132"/>
      <c r="E217" s="1132"/>
      <c r="F217" s="1132"/>
    </row>
    <row r="218" spans="1:6" ht="18" customHeight="1">
      <c r="A218" s="1132"/>
      <c r="B218" s="1132"/>
      <c r="D218" s="1132"/>
      <c r="E218" s="1132"/>
      <c r="F218" s="1132"/>
    </row>
    <row r="219" spans="1:6" ht="18" customHeight="1">
      <c r="A219" s="1132"/>
      <c r="B219" s="1132"/>
      <c r="D219" s="1132"/>
      <c r="E219" s="1132"/>
      <c r="F219" s="1132"/>
    </row>
    <row r="220" spans="1:6" ht="18" customHeight="1">
      <c r="A220" s="1132"/>
      <c r="B220" s="1132"/>
      <c r="D220" s="1132"/>
      <c r="E220" s="1132"/>
      <c r="F220" s="1132"/>
    </row>
    <row r="221" spans="1:6" ht="18" customHeight="1">
      <c r="A221" s="1132"/>
      <c r="B221" s="1132"/>
      <c r="D221" s="1132"/>
      <c r="E221" s="1132"/>
      <c r="F221" s="1132"/>
    </row>
    <row r="222" spans="1:6" ht="18" customHeight="1">
      <c r="A222" s="1132"/>
      <c r="B222" s="1132"/>
      <c r="D222" s="1132"/>
      <c r="E222" s="1132"/>
      <c r="F222" s="1132"/>
    </row>
    <row r="223" spans="1:6" ht="18" customHeight="1">
      <c r="A223" s="1132"/>
      <c r="B223" s="1132"/>
      <c r="D223" s="1132"/>
      <c r="E223" s="1132"/>
      <c r="F223" s="1132"/>
    </row>
    <row r="224" spans="1:6" ht="18" customHeight="1">
      <c r="A224" s="1132"/>
      <c r="B224" s="1132"/>
      <c r="D224" s="1132"/>
      <c r="E224" s="1132"/>
      <c r="F224" s="1132"/>
    </row>
    <row r="225" spans="1:6" ht="18" customHeight="1">
      <c r="A225" s="1132"/>
      <c r="B225" s="1132"/>
      <c r="D225" s="1132"/>
      <c r="E225" s="1132"/>
      <c r="F225" s="1132"/>
    </row>
    <row r="226" spans="1:6" ht="18" customHeight="1">
      <c r="A226" s="1132"/>
      <c r="B226" s="1132"/>
      <c r="D226" s="1132"/>
      <c r="E226" s="1132"/>
      <c r="F226" s="1132"/>
    </row>
    <row r="227" spans="1:6" ht="18" customHeight="1">
      <c r="A227" s="1132"/>
      <c r="B227" s="1132"/>
      <c r="D227" s="1132"/>
      <c r="E227" s="1132"/>
      <c r="F227" s="1132"/>
    </row>
    <row r="228" spans="1:6" ht="18" customHeight="1">
      <c r="A228" s="1132"/>
      <c r="B228" s="1132"/>
      <c r="D228" s="1132"/>
      <c r="E228" s="1132"/>
      <c r="F228" s="1132"/>
    </row>
    <row r="229" spans="1:6" ht="18" customHeight="1">
      <c r="A229" s="1132"/>
      <c r="B229" s="1132"/>
      <c r="D229" s="1132"/>
      <c r="E229" s="1132"/>
      <c r="F229" s="1132"/>
    </row>
    <row r="230" spans="1:6" ht="18" customHeight="1">
      <c r="A230" s="1132"/>
      <c r="B230" s="1132"/>
      <c r="D230" s="1132"/>
      <c r="E230" s="1132"/>
      <c r="F230" s="1132"/>
    </row>
    <row r="231" spans="1:6" ht="18" customHeight="1">
      <c r="A231" s="1132"/>
      <c r="B231" s="1132"/>
      <c r="D231" s="1132"/>
      <c r="E231" s="1132"/>
      <c r="F231" s="1132"/>
    </row>
    <row r="232" spans="1:6" ht="18" customHeight="1">
      <c r="A232" s="1132"/>
      <c r="B232" s="1132"/>
      <c r="D232" s="1132"/>
      <c r="E232" s="1132"/>
      <c r="F232" s="1132"/>
    </row>
    <row r="233" spans="1:6" ht="18" customHeight="1">
      <c r="A233" s="1132"/>
      <c r="B233" s="1132"/>
      <c r="D233" s="1132"/>
      <c r="E233" s="1132"/>
      <c r="F233" s="1132"/>
    </row>
    <row r="234" spans="1:6" ht="18" customHeight="1">
      <c r="A234" s="1132"/>
      <c r="B234" s="1132"/>
      <c r="D234" s="1132"/>
      <c r="E234" s="1132"/>
      <c r="F234" s="1132"/>
    </row>
    <row r="235" spans="1:6" ht="18" customHeight="1">
      <c r="A235" s="1132"/>
      <c r="B235" s="1132"/>
      <c r="D235" s="1132"/>
      <c r="E235" s="1132"/>
      <c r="F235" s="1132"/>
    </row>
    <row r="236" spans="1:6">
      <c r="A236" s="1132"/>
    </row>
  </sheetData>
  <mergeCells count="5">
    <mergeCell ref="A10:D11"/>
    <mergeCell ref="E10:E11"/>
    <mergeCell ref="F10:F11"/>
    <mergeCell ref="G10:G11"/>
    <mergeCell ref="H10:H11"/>
  </mergeCells>
  <phoneticPr fontId="3" type="noConversion"/>
  <printOptions horizontalCentered="1"/>
  <pageMargins left="0.74803149606299213" right="0.19685039370078741" top="0.78740157480314965" bottom="1.1811023622047245" header="0.51181102362204722" footer="0.51181102362204722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F337"/>
  <sheetViews>
    <sheetView view="pageBreakPreview" workbookViewId="0">
      <selection activeCell="F10" sqref="F10"/>
    </sheetView>
  </sheetViews>
  <sheetFormatPr defaultRowHeight="12"/>
  <cols>
    <col min="1" max="1" width="4.125" style="1131" customWidth="1"/>
    <col min="2" max="2" width="2.5" style="1131" customWidth="1"/>
    <col min="3" max="3" width="16.5" style="1132" customWidth="1"/>
    <col min="4" max="4" width="12.75" style="1131" customWidth="1"/>
    <col min="5" max="5" width="20" style="1133" customWidth="1"/>
    <col min="6" max="6" width="20.75" style="1133" customWidth="1"/>
    <col min="7" max="7" width="5.5" style="1134" customWidth="1"/>
    <col min="8" max="8" width="9" style="1134" bestFit="1" customWidth="1"/>
    <col min="9" max="256" width="9" style="1134"/>
    <col min="257" max="257" width="4.125" style="1134" customWidth="1"/>
    <col min="258" max="258" width="2.5" style="1134" customWidth="1"/>
    <col min="259" max="259" width="16.5" style="1134" customWidth="1"/>
    <col min="260" max="260" width="12.75" style="1134" customWidth="1"/>
    <col min="261" max="261" width="20" style="1134" customWidth="1"/>
    <col min="262" max="262" width="20.75" style="1134" customWidth="1"/>
    <col min="263" max="263" width="5.5" style="1134" customWidth="1"/>
    <col min="264" max="264" width="9" style="1134" bestFit="1" customWidth="1"/>
    <col min="265" max="512" width="9" style="1134"/>
    <col min="513" max="513" width="4.125" style="1134" customWidth="1"/>
    <col min="514" max="514" width="2.5" style="1134" customWidth="1"/>
    <col min="515" max="515" width="16.5" style="1134" customWidth="1"/>
    <col min="516" max="516" width="12.75" style="1134" customWidth="1"/>
    <col min="517" max="517" width="20" style="1134" customWidth="1"/>
    <col min="518" max="518" width="20.75" style="1134" customWidth="1"/>
    <col min="519" max="519" width="5.5" style="1134" customWidth="1"/>
    <col min="520" max="520" width="9" style="1134" bestFit="1" customWidth="1"/>
    <col min="521" max="768" width="9" style="1134"/>
    <col min="769" max="769" width="4.125" style="1134" customWidth="1"/>
    <col min="770" max="770" width="2.5" style="1134" customWidth="1"/>
    <col min="771" max="771" width="16.5" style="1134" customWidth="1"/>
    <col min="772" max="772" width="12.75" style="1134" customWidth="1"/>
    <col min="773" max="773" width="20" style="1134" customWidth="1"/>
    <col min="774" max="774" width="20.75" style="1134" customWidth="1"/>
    <col min="775" max="775" width="5.5" style="1134" customWidth="1"/>
    <col min="776" max="776" width="9" style="1134" bestFit="1" customWidth="1"/>
    <col min="777" max="1024" width="9" style="1134"/>
    <col min="1025" max="1025" width="4.125" style="1134" customWidth="1"/>
    <col min="1026" max="1026" width="2.5" style="1134" customWidth="1"/>
    <col min="1027" max="1027" width="16.5" style="1134" customWidth="1"/>
    <col min="1028" max="1028" width="12.75" style="1134" customWidth="1"/>
    <col min="1029" max="1029" width="20" style="1134" customWidth="1"/>
    <col min="1030" max="1030" width="20.75" style="1134" customWidth="1"/>
    <col min="1031" max="1031" width="5.5" style="1134" customWidth="1"/>
    <col min="1032" max="1032" width="9" style="1134" bestFit="1" customWidth="1"/>
    <col min="1033" max="1280" width="9" style="1134"/>
    <col min="1281" max="1281" width="4.125" style="1134" customWidth="1"/>
    <col min="1282" max="1282" width="2.5" style="1134" customWidth="1"/>
    <col min="1283" max="1283" width="16.5" style="1134" customWidth="1"/>
    <col min="1284" max="1284" width="12.75" style="1134" customWidth="1"/>
    <col min="1285" max="1285" width="20" style="1134" customWidth="1"/>
    <col min="1286" max="1286" width="20.75" style="1134" customWidth="1"/>
    <col min="1287" max="1287" width="5.5" style="1134" customWidth="1"/>
    <col min="1288" max="1288" width="9" style="1134" bestFit="1" customWidth="1"/>
    <col min="1289" max="1536" width="9" style="1134"/>
    <col min="1537" max="1537" width="4.125" style="1134" customWidth="1"/>
    <col min="1538" max="1538" width="2.5" style="1134" customWidth="1"/>
    <col min="1539" max="1539" width="16.5" style="1134" customWidth="1"/>
    <col min="1540" max="1540" width="12.75" style="1134" customWidth="1"/>
    <col min="1541" max="1541" width="20" style="1134" customWidth="1"/>
    <col min="1542" max="1542" width="20.75" style="1134" customWidth="1"/>
    <col min="1543" max="1543" width="5.5" style="1134" customWidth="1"/>
    <col min="1544" max="1544" width="9" style="1134" bestFit="1" customWidth="1"/>
    <col min="1545" max="1792" width="9" style="1134"/>
    <col min="1793" max="1793" width="4.125" style="1134" customWidth="1"/>
    <col min="1794" max="1794" width="2.5" style="1134" customWidth="1"/>
    <col min="1795" max="1795" width="16.5" style="1134" customWidth="1"/>
    <col min="1796" max="1796" width="12.75" style="1134" customWidth="1"/>
    <col min="1797" max="1797" width="20" style="1134" customWidth="1"/>
    <col min="1798" max="1798" width="20.75" style="1134" customWidth="1"/>
    <col min="1799" max="1799" width="5.5" style="1134" customWidth="1"/>
    <col min="1800" max="1800" width="9" style="1134" bestFit="1" customWidth="1"/>
    <col min="1801" max="2048" width="9" style="1134"/>
    <col min="2049" max="2049" width="4.125" style="1134" customWidth="1"/>
    <col min="2050" max="2050" width="2.5" style="1134" customWidth="1"/>
    <col min="2051" max="2051" width="16.5" style="1134" customWidth="1"/>
    <col min="2052" max="2052" width="12.75" style="1134" customWidth="1"/>
    <col min="2053" max="2053" width="20" style="1134" customWidth="1"/>
    <col min="2054" max="2054" width="20.75" style="1134" customWidth="1"/>
    <col min="2055" max="2055" width="5.5" style="1134" customWidth="1"/>
    <col min="2056" max="2056" width="9" style="1134" bestFit="1" customWidth="1"/>
    <col min="2057" max="2304" width="9" style="1134"/>
    <col min="2305" max="2305" width="4.125" style="1134" customWidth="1"/>
    <col min="2306" max="2306" width="2.5" style="1134" customWidth="1"/>
    <col min="2307" max="2307" width="16.5" style="1134" customWidth="1"/>
    <col min="2308" max="2308" width="12.75" style="1134" customWidth="1"/>
    <col min="2309" max="2309" width="20" style="1134" customWidth="1"/>
    <col min="2310" max="2310" width="20.75" style="1134" customWidth="1"/>
    <col min="2311" max="2311" width="5.5" style="1134" customWidth="1"/>
    <col min="2312" max="2312" width="9" style="1134" bestFit="1" customWidth="1"/>
    <col min="2313" max="2560" width="9" style="1134"/>
    <col min="2561" max="2561" width="4.125" style="1134" customWidth="1"/>
    <col min="2562" max="2562" width="2.5" style="1134" customWidth="1"/>
    <col min="2563" max="2563" width="16.5" style="1134" customWidth="1"/>
    <col min="2564" max="2564" width="12.75" style="1134" customWidth="1"/>
    <col min="2565" max="2565" width="20" style="1134" customWidth="1"/>
    <col min="2566" max="2566" width="20.75" style="1134" customWidth="1"/>
    <col min="2567" max="2567" width="5.5" style="1134" customWidth="1"/>
    <col min="2568" max="2568" width="9" style="1134" bestFit="1" customWidth="1"/>
    <col min="2569" max="2816" width="9" style="1134"/>
    <col min="2817" max="2817" width="4.125" style="1134" customWidth="1"/>
    <col min="2818" max="2818" width="2.5" style="1134" customWidth="1"/>
    <col min="2819" max="2819" width="16.5" style="1134" customWidth="1"/>
    <col min="2820" max="2820" width="12.75" style="1134" customWidth="1"/>
    <col min="2821" max="2821" width="20" style="1134" customWidth="1"/>
    <col min="2822" max="2822" width="20.75" style="1134" customWidth="1"/>
    <col min="2823" max="2823" width="5.5" style="1134" customWidth="1"/>
    <col min="2824" max="2824" width="9" style="1134" bestFit="1" customWidth="1"/>
    <col min="2825" max="3072" width="9" style="1134"/>
    <col min="3073" max="3073" width="4.125" style="1134" customWidth="1"/>
    <col min="3074" max="3074" width="2.5" style="1134" customWidth="1"/>
    <col min="3075" max="3075" width="16.5" style="1134" customWidth="1"/>
    <col min="3076" max="3076" width="12.75" style="1134" customWidth="1"/>
    <col min="3077" max="3077" width="20" style="1134" customWidth="1"/>
    <col min="3078" max="3078" width="20.75" style="1134" customWidth="1"/>
    <col min="3079" max="3079" width="5.5" style="1134" customWidth="1"/>
    <col min="3080" max="3080" width="9" style="1134" bestFit="1" customWidth="1"/>
    <col min="3081" max="3328" width="9" style="1134"/>
    <col min="3329" max="3329" width="4.125" style="1134" customWidth="1"/>
    <col min="3330" max="3330" width="2.5" style="1134" customWidth="1"/>
    <col min="3331" max="3331" width="16.5" style="1134" customWidth="1"/>
    <col min="3332" max="3332" width="12.75" style="1134" customWidth="1"/>
    <col min="3333" max="3333" width="20" style="1134" customWidth="1"/>
    <col min="3334" max="3334" width="20.75" style="1134" customWidth="1"/>
    <col min="3335" max="3335" width="5.5" style="1134" customWidth="1"/>
    <col min="3336" max="3336" width="9" style="1134" bestFit="1" customWidth="1"/>
    <col min="3337" max="3584" width="9" style="1134"/>
    <col min="3585" max="3585" width="4.125" style="1134" customWidth="1"/>
    <col min="3586" max="3586" width="2.5" style="1134" customWidth="1"/>
    <col min="3587" max="3587" width="16.5" style="1134" customWidth="1"/>
    <col min="3588" max="3588" width="12.75" style="1134" customWidth="1"/>
    <col min="3589" max="3589" width="20" style="1134" customWidth="1"/>
    <col min="3590" max="3590" width="20.75" style="1134" customWidth="1"/>
    <col min="3591" max="3591" width="5.5" style="1134" customWidth="1"/>
    <col min="3592" max="3592" width="9" style="1134" bestFit="1" customWidth="1"/>
    <col min="3593" max="3840" width="9" style="1134"/>
    <col min="3841" max="3841" width="4.125" style="1134" customWidth="1"/>
    <col min="3842" max="3842" width="2.5" style="1134" customWidth="1"/>
    <col min="3843" max="3843" width="16.5" style="1134" customWidth="1"/>
    <col min="3844" max="3844" width="12.75" style="1134" customWidth="1"/>
    <col min="3845" max="3845" width="20" style="1134" customWidth="1"/>
    <col min="3846" max="3846" width="20.75" style="1134" customWidth="1"/>
    <col min="3847" max="3847" width="5.5" style="1134" customWidth="1"/>
    <col min="3848" max="3848" width="9" style="1134" bestFit="1" customWidth="1"/>
    <col min="3849" max="4096" width="9" style="1134"/>
    <col min="4097" max="4097" width="4.125" style="1134" customWidth="1"/>
    <col min="4098" max="4098" width="2.5" style="1134" customWidth="1"/>
    <col min="4099" max="4099" width="16.5" style="1134" customWidth="1"/>
    <col min="4100" max="4100" width="12.75" style="1134" customWidth="1"/>
    <col min="4101" max="4101" width="20" style="1134" customWidth="1"/>
    <col min="4102" max="4102" width="20.75" style="1134" customWidth="1"/>
    <col min="4103" max="4103" width="5.5" style="1134" customWidth="1"/>
    <col min="4104" max="4104" width="9" style="1134" bestFit="1" customWidth="1"/>
    <col min="4105" max="4352" width="9" style="1134"/>
    <col min="4353" max="4353" width="4.125" style="1134" customWidth="1"/>
    <col min="4354" max="4354" width="2.5" style="1134" customWidth="1"/>
    <col min="4355" max="4355" width="16.5" style="1134" customWidth="1"/>
    <col min="4356" max="4356" width="12.75" style="1134" customWidth="1"/>
    <col min="4357" max="4357" width="20" style="1134" customWidth="1"/>
    <col min="4358" max="4358" width="20.75" style="1134" customWidth="1"/>
    <col min="4359" max="4359" width="5.5" style="1134" customWidth="1"/>
    <col min="4360" max="4360" width="9" style="1134" bestFit="1" customWidth="1"/>
    <col min="4361" max="4608" width="9" style="1134"/>
    <col min="4609" max="4609" width="4.125" style="1134" customWidth="1"/>
    <col min="4610" max="4610" width="2.5" style="1134" customWidth="1"/>
    <col min="4611" max="4611" width="16.5" style="1134" customWidth="1"/>
    <col min="4612" max="4612" width="12.75" style="1134" customWidth="1"/>
    <col min="4613" max="4613" width="20" style="1134" customWidth="1"/>
    <col min="4614" max="4614" width="20.75" style="1134" customWidth="1"/>
    <col min="4615" max="4615" width="5.5" style="1134" customWidth="1"/>
    <col min="4616" max="4616" width="9" style="1134" bestFit="1" customWidth="1"/>
    <col min="4617" max="4864" width="9" style="1134"/>
    <col min="4865" max="4865" width="4.125" style="1134" customWidth="1"/>
    <col min="4866" max="4866" width="2.5" style="1134" customWidth="1"/>
    <col min="4867" max="4867" width="16.5" style="1134" customWidth="1"/>
    <col min="4868" max="4868" width="12.75" style="1134" customWidth="1"/>
    <col min="4869" max="4869" width="20" style="1134" customWidth="1"/>
    <col min="4870" max="4870" width="20.75" style="1134" customWidth="1"/>
    <col min="4871" max="4871" width="5.5" style="1134" customWidth="1"/>
    <col min="4872" max="4872" width="9" style="1134" bestFit="1" customWidth="1"/>
    <col min="4873" max="5120" width="9" style="1134"/>
    <col min="5121" max="5121" width="4.125" style="1134" customWidth="1"/>
    <col min="5122" max="5122" width="2.5" style="1134" customWidth="1"/>
    <col min="5123" max="5123" width="16.5" style="1134" customWidth="1"/>
    <col min="5124" max="5124" width="12.75" style="1134" customWidth="1"/>
    <col min="5125" max="5125" width="20" style="1134" customWidth="1"/>
    <col min="5126" max="5126" width="20.75" style="1134" customWidth="1"/>
    <col min="5127" max="5127" width="5.5" style="1134" customWidth="1"/>
    <col min="5128" max="5128" width="9" style="1134" bestFit="1" customWidth="1"/>
    <col min="5129" max="5376" width="9" style="1134"/>
    <col min="5377" max="5377" width="4.125" style="1134" customWidth="1"/>
    <col min="5378" max="5378" width="2.5" style="1134" customWidth="1"/>
    <col min="5379" max="5379" width="16.5" style="1134" customWidth="1"/>
    <col min="5380" max="5380" width="12.75" style="1134" customWidth="1"/>
    <col min="5381" max="5381" width="20" style="1134" customWidth="1"/>
    <col min="5382" max="5382" width="20.75" style="1134" customWidth="1"/>
    <col min="5383" max="5383" width="5.5" style="1134" customWidth="1"/>
    <col min="5384" max="5384" width="9" style="1134" bestFit="1" customWidth="1"/>
    <col min="5385" max="5632" width="9" style="1134"/>
    <col min="5633" max="5633" width="4.125" style="1134" customWidth="1"/>
    <col min="5634" max="5634" width="2.5" style="1134" customWidth="1"/>
    <col min="5635" max="5635" width="16.5" style="1134" customWidth="1"/>
    <col min="5636" max="5636" width="12.75" style="1134" customWidth="1"/>
    <col min="5637" max="5637" width="20" style="1134" customWidth="1"/>
    <col min="5638" max="5638" width="20.75" style="1134" customWidth="1"/>
    <col min="5639" max="5639" width="5.5" style="1134" customWidth="1"/>
    <col min="5640" max="5640" width="9" style="1134" bestFit="1" customWidth="1"/>
    <col min="5641" max="5888" width="9" style="1134"/>
    <col min="5889" max="5889" width="4.125" style="1134" customWidth="1"/>
    <col min="5890" max="5890" width="2.5" style="1134" customWidth="1"/>
    <col min="5891" max="5891" width="16.5" style="1134" customWidth="1"/>
    <col min="5892" max="5892" width="12.75" style="1134" customWidth="1"/>
    <col min="5893" max="5893" width="20" style="1134" customWidth="1"/>
    <col min="5894" max="5894" width="20.75" style="1134" customWidth="1"/>
    <col min="5895" max="5895" width="5.5" style="1134" customWidth="1"/>
    <col min="5896" max="5896" width="9" style="1134" bestFit="1" customWidth="1"/>
    <col min="5897" max="6144" width="9" style="1134"/>
    <col min="6145" max="6145" width="4.125" style="1134" customWidth="1"/>
    <col min="6146" max="6146" width="2.5" style="1134" customWidth="1"/>
    <col min="6147" max="6147" width="16.5" style="1134" customWidth="1"/>
    <col min="6148" max="6148" width="12.75" style="1134" customWidth="1"/>
    <col min="6149" max="6149" width="20" style="1134" customWidth="1"/>
    <col min="6150" max="6150" width="20.75" style="1134" customWidth="1"/>
    <col min="6151" max="6151" width="5.5" style="1134" customWidth="1"/>
    <col min="6152" max="6152" width="9" style="1134" bestFit="1" customWidth="1"/>
    <col min="6153" max="6400" width="9" style="1134"/>
    <col min="6401" max="6401" width="4.125" style="1134" customWidth="1"/>
    <col min="6402" max="6402" width="2.5" style="1134" customWidth="1"/>
    <col min="6403" max="6403" width="16.5" style="1134" customWidth="1"/>
    <col min="6404" max="6404" width="12.75" style="1134" customWidth="1"/>
    <col min="6405" max="6405" width="20" style="1134" customWidth="1"/>
    <col min="6406" max="6406" width="20.75" style="1134" customWidth="1"/>
    <col min="6407" max="6407" width="5.5" style="1134" customWidth="1"/>
    <col min="6408" max="6408" width="9" style="1134" bestFit="1" customWidth="1"/>
    <col min="6409" max="6656" width="9" style="1134"/>
    <col min="6657" max="6657" width="4.125" style="1134" customWidth="1"/>
    <col min="6658" max="6658" width="2.5" style="1134" customWidth="1"/>
    <col min="6659" max="6659" width="16.5" style="1134" customWidth="1"/>
    <col min="6660" max="6660" width="12.75" style="1134" customWidth="1"/>
    <col min="6661" max="6661" width="20" style="1134" customWidth="1"/>
    <col min="6662" max="6662" width="20.75" style="1134" customWidth="1"/>
    <col min="6663" max="6663" width="5.5" style="1134" customWidth="1"/>
    <col min="6664" max="6664" width="9" style="1134" bestFit="1" customWidth="1"/>
    <col min="6665" max="6912" width="9" style="1134"/>
    <col min="6913" max="6913" width="4.125" style="1134" customWidth="1"/>
    <col min="6914" max="6914" width="2.5" style="1134" customWidth="1"/>
    <col min="6915" max="6915" width="16.5" style="1134" customWidth="1"/>
    <col min="6916" max="6916" width="12.75" style="1134" customWidth="1"/>
    <col min="6917" max="6917" width="20" style="1134" customWidth="1"/>
    <col min="6918" max="6918" width="20.75" style="1134" customWidth="1"/>
    <col min="6919" max="6919" width="5.5" style="1134" customWidth="1"/>
    <col min="6920" max="6920" width="9" style="1134" bestFit="1" customWidth="1"/>
    <col min="6921" max="7168" width="9" style="1134"/>
    <col min="7169" max="7169" width="4.125" style="1134" customWidth="1"/>
    <col min="7170" max="7170" width="2.5" style="1134" customWidth="1"/>
    <col min="7171" max="7171" width="16.5" style="1134" customWidth="1"/>
    <col min="7172" max="7172" width="12.75" style="1134" customWidth="1"/>
    <col min="7173" max="7173" width="20" style="1134" customWidth="1"/>
    <col min="7174" max="7174" width="20.75" style="1134" customWidth="1"/>
    <col min="7175" max="7175" width="5.5" style="1134" customWidth="1"/>
    <col min="7176" max="7176" width="9" style="1134" bestFit="1" customWidth="1"/>
    <col min="7177" max="7424" width="9" style="1134"/>
    <col min="7425" max="7425" width="4.125" style="1134" customWidth="1"/>
    <col min="7426" max="7426" width="2.5" style="1134" customWidth="1"/>
    <col min="7427" max="7427" width="16.5" style="1134" customWidth="1"/>
    <col min="7428" max="7428" width="12.75" style="1134" customWidth="1"/>
    <col min="7429" max="7429" width="20" style="1134" customWidth="1"/>
    <col min="7430" max="7430" width="20.75" style="1134" customWidth="1"/>
    <col min="7431" max="7431" width="5.5" style="1134" customWidth="1"/>
    <col min="7432" max="7432" width="9" style="1134" bestFit="1" customWidth="1"/>
    <col min="7433" max="7680" width="9" style="1134"/>
    <col min="7681" max="7681" width="4.125" style="1134" customWidth="1"/>
    <col min="7682" max="7682" width="2.5" style="1134" customWidth="1"/>
    <col min="7683" max="7683" width="16.5" style="1134" customWidth="1"/>
    <col min="7684" max="7684" width="12.75" style="1134" customWidth="1"/>
    <col min="7685" max="7685" width="20" style="1134" customWidth="1"/>
    <col min="7686" max="7686" width="20.75" style="1134" customWidth="1"/>
    <col min="7687" max="7687" width="5.5" style="1134" customWidth="1"/>
    <col min="7688" max="7688" width="9" style="1134" bestFit="1" customWidth="1"/>
    <col min="7689" max="7936" width="9" style="1134"/>
    <col min="7937" max="7937" width="4.125" style="1134" customWidth="1"/>
    <col min="7938" max="7938" width="2.5" style="1134" customWidth="1"/>
    <col min="7939" max="7939" width="16.5" style="1134" customWidth="1"/>
    <col min="7940" max="7940" width="12.75" style="1134" customWidth="1"/>
    <col min="7941" max="7941" width="20" style="1134" customWidth="1"/>
    <col min="7942" max="7942" width="20.75" style="1134" customWidth="1"/>
    <col min="7943" max="7943" width="5.5" style="1134" customWidth="1"/>
    <col min="7944" max="7944" width="9" style="1134" bestFit="1" customWidth="1"/>
    <col min="7945" max="8192" width="9" style="1134"/>
    <col min="8193" max="8193" width="4.125" style="1134" customWidth="1"/>
    <col min="8194" max="8194" width="2.5" style="1134" customWidth="1"/>
    <col min="8195" max="8195" width="16.5" style="1134" customWidth="1"/>
    <col min="8196" max="8196" width="12.75" style="1134" customWidth="1"/>
    <col min="8197" max="8197" width="20" style="1134" customWidth="1"/>
    <col min="8198" max="8198" width="20.75" style="1134" customWidth="1"/>
    <col min="8199" max="8199" width="5.5" style="1134" customWidth="1"/>
    <col min="8200" max="8200" width="9" style="1134" bestFit="1" customWidth="1"/>
    <col min="8201" max="8448" width="9" style="1134"/>
    <col min="8449" max="8449" width="4.125" style="1134" customWidth="1"/>
    <col min="8450" max="8450" width="2.5" style="1134" customWidth="1"/>
    <col min="8451" max="8451" width="16.5" style="1134" customWidth="1"/>
    <col min="8452" max="8452" width="12.75" style="1134" customWidth="1"/>
    <col min="8453" max="8453" width="20" style="1134" customWidth="1"/>
    <col min="8454" max="8454" width="20.75" style="1134" customWidth="1"/>
    <col min="8455" max="8455" width="5.5" style="1134" customWidth="1"/>
    <col min="8456" max="8456" width="9" style="1134" bestFit="1" customWidth="1"/>
    <col min="8457" max="8704" width="9" style="1134"/>
    <col min="8705" max="8705" width="4.125" style="1134" customWidth="1"/>
    <col min="8706" max="8706" width="2.5" style="1134" customWidth="1"/>
    <col min="8707" max="8707" width="16.5" style="1134" customWidth="1"/>
    <col min="8708" max="8708" width="12.75" style="1134" customWidth="1"/>
    <col min="8709" max="8709" width="20" style="1134" customWidth="1"/>
    <col min="8710" max="8710" width="20.75" style="1134" customWidth="1"/>
    <col min="8711" max="8711" width="5.5" style="1134" customWidth="1"/>
    <col min="8712" max="8712" width="9" style="1134" bestFit="1" customWidth="1"/>
    <col min="8713" max="8960" width="9" style="1134"/>
    <col min="8961" max="8961" width="4.125" style="1134" customWidth="1"/>
    <col min="8962" max="8962" width="2.5" style="1134" customWidth="1"/>
    <col min="8963" max="8963" width="16.5" style="1134" customWidth="1"/>
    <col min="8964" max="8964" width="12.75" style="1134" customWidth="1"/>
    <col min="8965" max="8965" width="20" style="1134" customWidth="1"/>
    <col min="8966" max="8966" width="20.75" style="1134" customWidth="1"/>
    <col min="8967" max="8967" width="5.5" style="1134" customWidth="1"/>
    <col min="8968" max="8968" width="9" style="1134" bestFit="1" customWidth="1"/>
    <col min="8969" max="9216" width="9" style="1134"/>
    <col min="9217" max="9217" width="4.125" style="1134" customWidth="1"/>
    <col min="9218" max="9218" width="2.5" style="1134" customWidth="1"/>
    <col min="9219" max="9219" width="16.5" style="1134" customWidth="1"/>
    <col min="9220" max="9220" width="12.75" style="1134" customWidth="1"/>
    <col min="9221" max="9221" width="20" style="1134" customWidth="1"/>
    <col min="9222" max="9222" width="20.75" style="1134" customWidth="1"/>
    <col min="9223" max="9223" width="5.5" style="1134" customWidth="1"/>
    <col min="9224" max="9224" width="9" style="1134" bestFit="1" customWidth="1"/>
    <col min="9225" max="9472" width="9" style="1134"/>
    <col min="9473" max="9473" width="4.125" style="1134" customWidth="1"/>
    <col min="9474" max="9474" width="2.5" style="1134" customWidth="1"/>
    <col min="9475" max="9475" width="16.5" style="1134" customWidth="1"/>
    <col min="9476" max="9476" width="12.75" style="1134" customWidth="1"/>
    <col min="9477" max="9477" width="20" style="1134" customWidth="1"/>
    <col min="9478" max="9478" width="20.75" style="1134" customWidth="1"/>
    <col min="9479" max="9479" width="5.5" style="1134" customWidth="1"/>
    <col min="9480" max="9480" width="9" style="1134" bestFit="1" customWidth="1"/>
    <col min="9481" max="9728" width="9" style="1134"/>
    <col min="9729" max="9729" width="4.125" style="1134" customWidth="1"/>
    <col min="9730" max="9730" width="2.5" style="1134" customWidth="1"/>
    <col min="9731" max="9731" width="16.5" style="1134" customWidth="1"/>
    <col min="9732" max="9732" width="12.75" style="1134" customWidth="1"/>
    <col min="9733" max="9733" width="20" style="1134" customWidth="1"/>
    <col min="9734" max="9734" width="20.75" style="1134" customWidth="1"/>
    <col min="9735" max="9735" width="5.5" style="1134" customWidth="1"/>
    <col min="9736" max="9736" width="9" style="1134" bestFit="1" customWidth="1"/>
    <col min="9737" max="9984" width="9" style="1134"/>
    <col min="9985" max="9985" width="4.125" style="1134" customWidth="1"/>
    <col min="9986" max="9986" width="2.5" style="1134" customWidth="1"/>
    <col min="9987" max="9987" width="16.5" style="1134" customWidth="1"/>
    <col min="9988" max="9988" width="12.75" style="1134" customWidth="1"/>
    <col min="9989" max="9989" width="20" style="1134" customWidth="1"/>
    <col min="9990" max="9990" width="20.75" style="1134" customWidth="1"/>
    <col min="9991" max="9991" width="5.5" style="1134" customWidth="1"/>
    <col min="9992" max="9992" width="9" style="1134" bestFit="1" customWidth="1"/>
    <col min="9993" max="10240" width="9" style="1134"/>
    <col min="10241" max="10241" width="4.125" style="1134" customWidth="1"/>
    <col min="10242" max="10242" width="2.5" style="1134" customWidth="1"/>
    <col min="10243" max="10243" width="16.5" style="1134" customWidth="1"/>
    <col min="10244" max="10244" width="12.75" style="1134" customWidth="1"/>
    <col min="10245" max="10245" width="20" style="1134" customWidth="1"/>
    <col min="10246" max="10246" width="20.75" style="1134" customWidth="1"/>
    <col min="10247" max="10247" width="5.5" style="1134" customWidth="1"/>
    <col min="10248" max="10248" width="9" style="1134" bestFit="1" customWidth="1"/>
    <col min="10249" max="10496" width="9" style="1134"/>
    <col min="10497" max="10497" width="4.125" style="1134" customWidth="1"/>
    <col min="10498" max="10498" width="2.5" style="1134" customWidth="1"/>
    <col min="10499" max="10499" width="16.5" style="1134" customWidth="1"/>
    <col min="10500" max="10500" width="12.75" style="1134" customWidth="1"/>
    <col min="10501" max="10501" width="20" style="1134" customWidth="1"/>
    <col min="10502" max="10502" width="20.75" style="1134" customWidth="1"/>
    <col min="10503" max="10503" width="5.5" style="1134" customWidth="1"/>
    <col min="10504" max="10504" width="9" style="1134" bestFit="1" customWidth="1"/>
    <col min="10505" max="10752" width="9" style="1134"/>
    <col min="10753" max="10753" width="4.125" style="1134" customWidth="1"/>
    <col min="10754" max="10754" width="2.5" style="1134" customWidth="1"/>
    <col min="10755" max="10755" width="16.5" style="1134" customWidth="1"/>
    <col min="10756" max="10756" width="12.75" style="1134" customWidth="1"/>
    <col min="10757" max="10757" width="20" style="1134" customWidth="1"/>
    <col min="10758" max="10758" width="20.75" style="1134" customWidth="1"/>
    <col min="10759" max="10759" width="5.5" style="1134" customWidth="1"/>
    <col min="10760" max="10760" width="9" style="1134" bestFit="1" customWidth="1"/>
    <col min="10761" max="11008" width="9" style="1134"/>
    <col min="11009" max="11009" width="4.125" style="1134" customWidth="1"/>
    <col min="11010" max="11010" width="2.5" style="1134" customWidth="1"/>
    <col min="11011" max="11011" width="16.5" style="1134" customWidth="1"/>
    <col min="11012" max="11012" width="12.75" style="1134" customWidth="1"/>
    <col min="11013" max="11013" width="20" style="1134" customWidth="1"/>
    <col min="11014" max="11014" width="20.75" style="1134" customWidth="1"/>
    <col min="11015" max="11015" width="5.5" style="1134" customWidth="1"/>
    <col min="11016" max="11016" width="9" style="1134" bestFit="1" customWidth="1"/>
    <col min="11017" max="11264" width="9" style="1134"/>
    <col min="11265" max="11265" width="4.125" style="1134" customWidth="1"/>
    <col min="11266" max="11266" width="2.5" style="1134" customWidth="1"/>
    <col min="11267" max="11267" width="16.5" style="1134" customWidth="1"/>
    <col min="11268" max="11268" width="12.75" style="1134" customWidth="1"/>
    <col min="11269" max="11269" width="20" style="1134" customWidth="1"/>
    <col min="11270" max="11270" width="20.75" style="1134" customWidth="1"/>
    <col min="11271" max="11271" width="5.5" style="1134" customWidth="1"/>
    <col min="11272" max="11272" width="9" style="1134" bestFit="1" customWidth="1"/>
    <col min="11273" max="11520" width="9" style="1134"/>
    <col min="11521" max="11521" width="4.125" style="1134" customWidth="1"/>
    <col min="11522" max="11522" width="2.5" style="1134" customWidth="1"/>
    <col min="11523" max="11523" width="16.5" style="1134" customWidth="1"/>
    <col min="11524" max="11524" width="12.75" style="1134" customWidth="1"/>
    <col min="11525" max="11525" width="20" style="1134" customWidth="1"/>
    <col min="11526" max="11526" width="20.75" style="1134" customWidth="1"/>
    <col min="11527" max="11527" width="5.5" style="1134" customWidth="1"/>
    <col min="11528" max="11528" width="9" style="1134" bestFit="1" customWidth="1"/>
    <col min="11529" max="11776" width="9" style="1134"/>
    <col min="11777" max="11777" width="4.125" style="1134" customWidth="1"/>
    <col min="11778" max="11778" width="2.5" style="1134" customWidth="1"/>
    <col min="11779" max="11779" width="16.5" style="1134" customWidth="1"/>
    <col min="11780" max="11780" width="12.75" style="1134" customWidth="1"/>
    <col min="11781" max="11781" width="20" style="1134" customWidth="1"/>
    <col min="11782" max="11782" width="20.75" style="1134" customWidth="1"/>
    <col min="11783" max="11783" width="5.5" style="1134" customWidth="1"/>
    <col min="11784" max="11784" width="9" style="1134" bestFit="1" customWidth="1"/>
    <col min="11785" max="12032" width="9" style="1134"/>
    <col min="12033" max="12033" width="4.125" style="1134" customWidth="1"/>
    <col min="12034" max="12034" width="2.5" style="1134" customWidth="1"/>
    <col min="12035" max="12035" width="16.5" style="1134" customWidth="1"/>
    <col min="12036" max="12036" width="12.75" style="1134" customWidth="1"/>
    <col min="12037" max="12037" width="20" style="1134" customWidth="1"/>
    <col min="12038" max="12038" width="20.75" style="1134" customWidth="1"/>
    <col min="12039" max="12039" width="5.5" style="1134" customWidth="1"/>
    <col min="12040" max="12040" width="9" style="1134" bestFit="1" customWidth="1"/>
    <col min="12041" max="12288" width="9" style="1134"/>
    <col min="12289" max="12289" width="4.125" style="1134" customWidth="1"/>
    <col min="12290" max="12290" width="2.5" style="1134" customWidth="1"/>
    <col min="12291" max="12291" width="16.5" style="1134" customWidth="1"/>
    <col min="12292" max="12292" width="12.75" style="1134" customWidth="1"/>
    <col min="12293" max="12293" width="20" style="1134" customWidth="1"/>
    <col min="12294" max="12294" width="20.75" style="1134" customWidth="1"/>
    <col min="12295" max="12295" width="5.5" style="1134" customWidth="1"/>
    <col min="12296" max="12296" width="9" style="1134" bestFit="1" customWidth="1"/>
    <col min="12297" max="12544" width="9" style="1134"/>
    <col min="12545" max="12545" width="4.125" style="1134" customWidth="1"/>
    <col min="12546" max="12546" width="2.5" style="1134" customWidth="1"/>
    <col min="12547" max="12547" width="16.5" style="1134" customWidth="1"/>
    <col min="12548" max="12548" width="12.75" style="1134" customWidth="1"/>
    <col min="12549" max="12549" width="20" style="1134" customWidth="1"/>
    <col min="12550" max="12550" width="20.75" style="1134" customWidth="1"/>
    <col min="12551" max="12551" width="5.5" style="1134" customWidth="1"/>
    <col min="12552" max="12552" width="9" style="1134" bestFit="1" customWidth="1"/>
    <col min="12553" max="12800" width="9" style="1134"/>
    <col min="12801" max="12801" width="4.125" style="1134" customWidth="1"/>
    <col min="12802" max="12802" width="2.5" style="1134" customWidth="1"/>
    <col min="12803" max="12803" width="16.5" style="1134" customWidth="1"/>
    <col min="12804" max="12804" width="12.75" style="1134" customWidth="1"/>
    <col min="12805" max="12805" width="20" style="1134" customWidth="1"/>
    <col min="12806" max="12806" width="20.75" style="1134" customWidth="1"/>
    <col min="12807" max="12807" width="5.5" style="1134" customWidth="1"/>
    <col min="12808" max="12808" width="9" style="1134" bestFit="1" customWidth="1"/>
    <col min="12809" max="13056" width="9" style="1134"/>
    <col min="13057" max="13057" width="4.125" style="1134" customWidth="1"/>
    <col min="13058" max="13058" width="2.5" style="1134" customWidth="1"/>
    <col min="13059" max="13059" width="16.5" style="1134" customWidth="1"/>
    <col min="13060" max="13060" width="12.75" style="1134" customWidth="1"/>
    <col min="13061" max="13061" width="20" style="1134" customWidth="1"/>
    <col min="13062" max="13062" width="20.75" style="1134" customWidth="1"/>
    <col min="13063" max="13063" width="5.5" style="1134" customWidth="1"/>
    <col min="13064" max="13064" width="9" style="1134" bestFit="1" customWidth="1"/>
    <col min="13065" max="13312" width="9" style="1134"/>
    <col min="13313" max="13313" width="4.125" style="1134" customWidth="1"/>
    <col min="13314" max="13314" width="2.5" style="1134" customWidth="1"/>
    <col min="13315" max="13315" width="16.5" style="1134" customWidth="1"/>
    <col min="13316" max="13316" width="12.75" style="1134" customWidth="1"/>
    <col min="13317" max="13317" width="20" style="1134" customWidth="1"/>
    <col min="13318" max="13318" width="20.75" style="1134" customWidth="1"/>
    <col min="13319" max="13319" width="5.5" style="1134" customWidth="1"/>
    <col min="13320" max="13320" width="9" style="1134" bestFit="1" customWidth="1"/>
    <col min="13321" max="13568" width="9" style="1134"/>
    <col min="13569" max="13569" width="4.125" style="1134" customWidth="1"/>
    <col min="13570" max="13570" width="2.5" style="1134" customWidth="1"/>
    <col min="13571" max="13571" width="16.5" style="1134" customWidth="1"/>
    <col min="13572" max="13572" width="12.75" style="1134" customWidth="1"/>
    <col min="13573" max="13573" width="20" style="1134" customWidth="1"/>
    <col min="13574" max="13574" width="20.75" style="1134" customWidth="1"/>
    <col min="13575" max="13575" width="5.5" style="1134" customWidth="1"/>
    <col min="13576" max="13576" width="9" style="1134" bestFit="1" customWidth="1"/>
    <col min="13577" max="13824" width="9" style="1134"/>
    <col min="13825" max="13825" width="4.125" style="1134" customWidth="1"/>
    <col min="13826" max="13826" width="2.5" style="1134" customWidth="1"/>
    <col min="13827" max="13827" width="16.5" style="1134" customWidth="1"/>
    <col min="13828" max="13828" width="12.75" style="1134" customWidth="1"/>
    <col min="13829" max="13829" width="20" style="1134" customWidth="1"/>
    <col min="13830" max="13830" width="20.75" style="1134" customWidth="1"/>
    <col min="13831" max="13831" width="5.5" style="1134" customWidth="1"/>
    <col min="13832" max="13832" width="9" style="1134" bestFit="1" customWidth="1"/>
    <col min="13833" max="14080" width="9" style="1134"/>
    <col min="14081" max="14081" width="4.125" style="1134" customWidth="1"/>
    <col min="14082" max="14082" width="2.5" style="1134" customWidth="1"/>
    <col min="14083" max="14083" width="16.5" style="1134" customWidth="1"/>
    <col min="14084" max="14084" width="12.75" style="1134" customWidth="1"/>
    <col min="14085" max="14085" width="20" style="1134" customWidth="1"/>
    <col min="14086" max="14086" width="20.75" style="1134" customWidth="1"/>
    <col min="14087" max="14087" width="5.5" style="1134" customWidth="1"/>
    <col min="14088" max="14088" width="9" style="1134" bestFit="1" customWidth="1"/>
    <col min="14089" max="14336" width="9" style="1134"/>
    <col min="14337" max="14337" width="4.125" style="1134" customWidth="1"/>
    <col min="14338" max="14338" width="2.5" style="1134" customWidth="1"/>
    <col min="14339" max="14339" width="16.5" style="1134" customWidth="1"/>
    <col min="14340" max="14340" width="12.75" style="1134" customWidth="1"/>
    <col min="14341" max="14341" width="20" style="1134" customWidth="1"/>
    <col min="14342" max="14342" width="20.75" style="1134" customWidth="1"/>
    <col min="14343" max="14343" width="5.5" style="1134" customWidth="1"/>
    <col min="14344" max="14344" width="9" style="1134" bestFit="1" customWidth="1"/>
    <col min="14345" max="14592" width="9" style="1134"/>
    <col min="14593" max="14593" width="4.125" style="1134" customWidth="1"/>
    <col min="14594" max="14594" width="2.5" style="1134" customWidth="1"/>
    <col min="14595" max="14595" width="16.5" style="1134" customWidth="1"/>
    <col min="14596" max="14596" width="12.75" style="1134" customWidth="1"/>
    <col min="14597" max="14597" width="20" style="1134" customWidth="1"/>
    <col min="14598" max="14598" width="20.75" style="1134" customWidth="1"/>
    <col min="14599" max="14599" width="5.5" style="1134" customWidth="1"/>
    <col min="14600" max="14600" width="9" style="1134" bestFit="1" customWidth="1"/>
    <col min="14601" max="14848" width="9" style="1134"/>
    <col min="14849" max="14849" width="4.125" style="1134" customWidth="1"/>
    <col min="14850" max="14850" width="2.5" style="1134" customWidth="1"/>
    <col min="14851" max="14851" width="16.5" style="1134" customWidth="1"/>
    <col min="14852" max="14852" width="12.75" style="1134" customWidth="1"/>
    <col min="14853" max="14853" width="20" style="1134" customWidth="1"/>
    <col min="14854" max="14854" width="20.75" style="1134" customWidth="1"/>
    <col min="14855" max="14855" width="5.5" style="1134" customWidth="1"/>
    <col min="14856" max="14856" width="9" style="1134" bestFit="1" customWidth="1"/>
    <col min="14857" max="15104" width="9" style="1134"/>
    <col min="15105" max="15105" width="4.125" style="1134" customWidth="1"/>
    <col min="15106" max="15106" width="2.5" style="1134" customWidth="1"/>
    <col min="15107" max="15107" width="16.5" style="1134" customWidth="1"/>
    <col min="15108" max="15108" width="12.75" style="1134" customWidth="1"/>
    <col min="15109" max="15109" width="20" style="1134" customWidth="1"/>
    <col min="15110" max="15110" width="20.75" style="1134" customWidth="1"/>
    <col min="15111" max="15111" width="5.5" style="1134" customWidth="1"/>
    <col min="15112" max="15112" width="9" style="1134" bestFit="1" customWidth="1"/>
    <col min="15113" max="15360" width="9" style="1134"/>
    <col min="15361" max="15361" width="4.125" style="1134" customWidth="1"/>
    <col min="15362" max="15362" width="2.5" style="1134" customWidth="1"/>
    <col min="15363" max="15363" width="16.5" style="1134" customWidth="1"/>
    <col min="15364" max="15364" width="12.75" style="1134" customWidth="1"/>
    <col min="15365" max="15365" width="20" style="1134" customWidth="1"/>
    <col min="15366" max="15366" width="20.75" style="1134" customWidth="1"/>
    <col min="15367" max="15367" width="5.5" style="1134" customWidth="1"/>
    <col min="15368" max="15368" width="9" style="1134" bestFit="1" customWidth="1"/>
    <col min="15369" max="15616" width="9" style="1134"/>
    <col min="15617" max="15617" width="4.125" style="1134" customWidth="1"/>
    <col min="15618" max="15618" width="2.5" style="1134" customWidth="1"/>
    <col min="15619" max="15619" width="16.5" style="1134" customWidth="1"/>
    <col min="15620" max="15620" width="12.75" style="1134" customWidth="1"/>
    <col min="15621" max="15621" width="20" style="1134" customWidth="1"/>
    <col min="15622" max="15622" width="20.75" style="1134" customWidth="1"/>
    <col min="15623" max="15623" width="5.5" style="1134" customWidth="1"/>
    <col min="15624" max="15624" width="9" style="1134" bestFit="1" customWidth="1"/>
    <col min="15625" max="15872" width="9" style="1134"/>
    <col min="15873" max="15873" width="4.125" style="1134" customWidth="1"/>
    <col min="15874" max="15874" width="2.5" style="1134" customWidth="1"/>
    <col min="15875" max="15875" width="16.5" style="1134" customWidth="1"/>
    <col min="15876" max="15876" width="12.75" style="1134" customWidth="1"/>
    <col min="15877" max="15877" width="20" style="1134" customWidth="1"/>
    <col min="15878" max="15878" width="20.75" style="1134" customWidth="1"/>
    <col min="15879" max="15879" width="5.5" style="1134" customWidth="1"/>
    <col min="15880" max="15880" width="9" style="1134" bestFit="1" customWidth="1"/>
    <col min="15881" max="16128" width="9" style="1134"/>
    <col min="16129" max="16129" width="4.125" style="1134" customWidth="1"/>
    <col min="16130" max="16130" width="2.5" style="1134" customWidth="1"/>
    <col min="16131" max="16131" width="16.5" style="1134" customWidth="1"/>
    <col min="16132" max="16132" width="12.75" style="1134" customWidth="1"/>
    <col min="16133" max="16133" width="20" style="1134" customWidth="1"/>
    <col min="16134" max="16134" width="20.75" style="1134" customWidth="1"/>
    <col min="16135" max="16135" width="5.5" style="1134" customWidth="1"/>
    <col min="16136" max="16136" width="9" style="1134" bestFit="1" customWidth="1"/>
    <col min="16137" max="16384" width="9" style="1134"/>
  </cols>
  <sheetData>
    <row r="1" spans="1:6" s="1026" customFormat="1" ht="32.1" customHeight="1">
      <c r="A1" s="1237" t="s">
        <v>5592</v>
      </c>
      <c r="B1" s="1237"/>
      <c r="C1" s="1237"/>
      <c r="D1" s="1237"/>
      <c r="E1" s="1237"/>
      <c r="F1" s="1237"/>
    </row>
    <row r="2" spans="1:6" s="1035" customFormat="1" ht="12" customHeight="1">
      <c r="A2" s="1032"/>
      <c r="B2" s="1032"/>
      <c r="C2" s="1033"/>
      <c r="D2" s="1032"/>
      <c r="E2" s="1034"/>
      <c r="F2" s="1034"/>
    </row>
    <row r="3" spans="1:6" s="1035" customFormat="1" ht="12" customHeight="1">
      <c r="A3" s="1037"/>
      <c r="B3" s="1032"/>
      <c r="C3" s="1033"/>
      <c r="D3" s="1032"/>
      <c r="E3" s="1034"/>
      <c r="F3" s="1034" t="s">
        <v>5575</v>
      </c>
    </row>
    <row r="4" spans="1:6" s="1035" customFormat="1" ht="6" customHeight="1">
      <c r="A4" s="1037"/>
      <c r="B4" s="1032"/>
      <c r="C4" s="1033"/>
      <c r="D4" s="1032"/>
      <c r="E4" s="1034"/>
      <c r="F4" s="1034"/>
    </row>
    <row r="5" spans="1:6" s="1035" customFormat="1" ht="5.0999999999999996" customHeight="1">
      <c r="A5" s="1038"/>
      <c r="B5" s="1039"/>
      <c r="C5" s="1040"/>
      <c r="D5" s="1041"/>
      <c r="E5" s="1042"/>
      <c r="F5" s="1147"/>
    </row>
    <row r="6" spans="1:6" s="1" customFormat="1" ht="26.1" customHeight="1">
      <c r="A6" s="1044"/>
      <c r="B6" s="156"/>
      <c r="C6" s="162" t="s">
        <v>5520</v>
      </c>
      <c r="D6" s="1046"/>
      <c r="E6" s="1148" t="s">
        <v>5593</v>
      </c>
      <c r="F6" s="1149" t="s">
        <v>5594</v>
      </c>
    </row>
    <row r="7" spans="1:6" s="1035" customFormat="1" ht="5.0999999999999996" customHeight="1">
      <c r="A7" s="1048"/>
      <c r="B7" s="1049"/>
      <c r="C7" s="1049"/>
      <c r="D7" s="1050"/>
      <c r="E7" s="1051"/>
      <c r="F7" s="1150"/>
    </row>
    <row r="8" spans="1:6" s="1035" customFormat="1" ht="22.5" customHeight="1">
      <c r="A8" s="1058" t="s">
        <v>22</v>
      </c>
      <c r="B8" s="1054" t="s">
        <v>5595</v>
      </c>
      <c r="C8" s="1031"/>
      <c r="D8" s="1055"/>
      <c r="E8" s="1151">
        <f>SUM(E9:E15)</f>
        <v>4612552209</v>
      </c>
      <c r="F8" s="1151">
        <f>SUM(F9:F15)</f>
        <v>379698761</v>
      </c>
    </row>
    <row r="9" spans="1:6" s="1035" customFormat="1" ht="22.5" customHeight="1">
      <c r="A9" s="1058"/>
      <c r="B9" s="1063" t="s">
        <v>25</v>
      </c>
      <c r="C9" s="1035" t="s">
        <v>5596</v>
      </c>
      <c r="D9" s="1059"/>
      <c r="E9" s="1151"/>
      <c r="F9" s="1151">
        <v>234719537</v>
      </c>
    </row>
    <row r="10" spans="1:6" s="1035" customFormat="1" ht="22.5" customHeight="1">
      <c r="A10" s="1058"/>
      <c r="B10" s="1063" t="s">
        <v>34</v>
      </c>
      <c r="C10" s="1035" t="s">
        <v>5597</v>
      </c>
      <c r="D10" s="1059"/>
      <c r="E10" s="1151">
        <f>+FS!E76</f>
        <v>32200000</v>
      </c>
      <c r="F10" s="1152"/>
    </row>
    <row r="11" spans="1:6" s="1035" customFormat="1" ht="22.5" customHeight="1">
      <c r="A11" s="1058"/>
      <c r="B11" s="1063" t="s">
        <v>35</v>
      </c>
      <c r="C11" s="1064" t="s">
        <v>5598</v>
      </c>
      <c r="D11" s="1059"/>
      <c r="E11" s="1151">
        <v>0</v>
      </c>
      <c r="F11" s="1152">
        <f>+FS!E77</f>
        <v>19474316</v>
      </c>
    </row>
    <row r="12" spans="1:6" s="1035" customFormat="1" ht="22.5" customHeight="1">
      <c r="A12" s="1058"/>
      <c r="B12" s="1063" t="s">
        <v>36</v>
      </c>
      <c r="C12" s="1035" t="s">
        <v>5599</v>
      </c>
      <c r="D12" s="1055"/>
      <c r="E12" s="1151">
        <f>+FS!E78</f>
        <v>84610080</v>
      </c>
      <c r="F12" s="1151"/>
    </row>
    <row r="13" spans="1:6" s="1035" customFormat="1" ht="22.5" customHeight="1">
      <c r="A13" s="1058"/>
      <c r="B13" s="1063" t="s">
        <v>39</v>
      </c>
      <c r="C13" s="1064" t="s">
        <v>5600</v>
      </c>
      <c r="D13" s="1055"/>
      <c r="E13" s="1151">
        <f>+FS!E79</f>
        <v>423153562</v>
      </c>
      <c r="F13" s="1151"/>
    </row>
    <row r="14" spans="1:6" s="1035" customFormat="1" ht="22.5" customHeight="1">
      <c r="A14" s="1058"/>
      <c r="B14" s="1063" t="s">
        <v>43</v>
      </c>
      <c r="C14" s="1064" t="s">
        <v>5601</v>
      </c>
      <c r="D14" s="1055"/>
      <c r="E14" s="1151">
        <f>+FS!E81</f>
        <v>4072588567</v>
      </c>
      <c r="F14" s="1151"/>
    </row>
    <row r="15" spans="1:6" s="1035" customFormat="1" ht="22.5" customHeight="1">
      <c r="A15" s="1058"/>
      <c r="B15" s="1063" t="s">
        <v>44</v>
      </c>
      <c r="C15" s="1035" t="s">
        <v>5602</v>
      </c>
      <c r="D15" s="1055"/>
      <c r="E15" s="1151"/>
      <c r="F15" s="1151">
        <f>+FS!E80</f>
        <v>125504908</v>
      </c>
    </row>
    <row r="16" spans="1:6" s="1035" customFormat="1" ht="22.5" customHeight="1">
      <c r="A16" s="1058" t="s">
        <v>37</v>
      </c>
      <c r="B16" s="1054" t="s">
        <v>5603</v>
      </c>
      <c r="D16" s="1059"/>
      <c r="E16" s="1151">
        <f>SUM(E17:E20)</f>
        <v>5153095957</v>
      </c>
      <c r="F16" s="1151">
        <f>+F20</f>
        <v>107705982</v>
      </c>
    </row>
    <row r="17" spans="1:6" s="1035" customFormat="1" ht="22.5" customHeight="1">
      <c r="A17" s="1058"/>
      <c r="B17" s="1063" t="s">
        <v>25</v>
      </c>
      <c r="C17" s="1064" t="s">
        <v>5604</v>
      </c>
      <c r="D17" s="1059"/>
      <c r="E17" s="1151">
        <f>+FS!E83</f>
        <v>4565811464</v>
      </c>
      <c r="F17" s="1152"/>
    </row>
    <row r="18" spans="1:6" s="1035" customFormat="1" ht="22.5" customHeight="1">
      <c r="A18" s="1058"/>
      <c r="B18" s="1063" t="s">
        <v>34</v>
      </c>
      <c r="C18" s="1064" t="s">
        <v>5605</v>
      </c>
      <c r="D18" s="1059"/>
      <c r="E18" s="1151">
        <f>+FS!E84</f>
        <v>28384380</v>
      </c>
      <c r="F18" s="1152"/>
    </row>
    <row r="19" spans="1:6" s="1035" customFormat="1" ht="22.5" customHeight="1">
      <c r="A19" s="1058"/>
      <c r="B19" s="1063" t="s">
        <v>35</v>
      </c>
      <c r="C19" s="1064" t="s">
        <v>5606</v>
      </c>
      <c r="D19" s="1059"/>
      <c r="E19" s="1151">
        <f>+FS!E85</f>
        <v>66255920</v>
      </c>
      <c r="F19" s="1152"/>
    </row>
    <row r="20" spans="1:6" s="1035" customFormat="1" ht="22.5" customHeight="1">
      <c r="A20" s="1058"/>
      <c r="B20" s="1063" t="s">
        <v>36</v>
      </c>
      <c r="C20" s="1064" t="s">
        <v>5607</v>
      </c>
      <c r="D20" s="1059"/>
      <c r="E20" s="1151">
        <f>+FS!E86-F20</f>
        <v>492644193</v>
      </c>
      <c r="F20" s="1152">
        <v>107705982</v>
      </c>
    </row>
    <row r="21" spans="1:6" s="1035" customFormat="1" ht="22.5" customHeight="1">
      <c r="A21" s="1058" t="s">
        <v>47</v>
      </c>
      <c r="B21" s="1054" t="s">
        <v>5608</v>
      </c>
      <c r="D21" s="1059"/>
      <c r="E21" s="1151">
        <f>+E8-E16</f>
        <v>-540543748</v>
      </c>
      <c r="F21" s="1151">
        <f>+F8-F16</f>
        <v>271992779</v>
      </c>
    </row>
    <row r="22" spans="1:6" s="1035" customFormat="1" ht="22.5" customHeight="1">
      <c r="A22" s="1058" t="s">
        <v>5609</v>
      </c>
      <c r="B22" s="1054" t="s">
        <v>5610</v>
      </c>
      <c r="D22" s="1059"/>
      <c r="E22" s="1151">
        <f>+FS!E89</f>
        <v>-39754</v>
      </c>
      <c r="F22" s="1151"/>
    </row>
    <row r="23" spans="1:6" s="1035" customFormat="1" ht="22.5" customHeight="1" thickBot="1">
      <c r="A23" s="1058" t="s">
        <v>5609</v>
      </c>
      <c r="B23" s="1054" t="s">
        <v>5611</v>
      </c>
      <c r="C23" s="1031"/>
      <c r="D23" s="1055"/>
      <c r="E23" s="1153">
        <f>+E21+E22</f>
        <v>-540583502</v>
      </c>
      <c r="F23" s="1153">
        <f>+F21</f>
        <v>271992779</v>
      </c>
    </row>
    <row r="24" spans="1:6" s="1035" customFormat="1" ht="20.25" customHeight="1" thickTop="1">
      <c r="A24" s="1091"/>
      <c r="B24" s="1091"/>
      <c r="C24" s="1091"/>
      <c r="D24" s="1091"/>
      <c r="E24" s="1091"/>
      <c r="F24" s="1091">
        <f>+E23+F23-FS!F90</f>
        <v>0</v>
      </c>
    </row>
    <row r="25" spans="1:6" s="1035" customFormat="1" ht="22.5" customHeight="1">
      <c r="A25" s="1083" t="s">
        <v>5612</v>
      </c>
      <c r="B25" s="1083"/>
      <c r="C25" s="1083"/>
      <c r="D25" s="1083"/>
      <c r="E25" s="1092"/>
      <c r="F25" s="1092"/>
    </row>
    <row r="26" spans="1:6" s="1035" customFormat="1" ht="18" customHeight="1">
      <c r="A26" s="1032"/>
      <c r="B26" s="1032"/>
      <c r="C26" s="1033"/>
      <c r="D26" s="1032"/>
      <c r="E26" s="1034"/>
      <c r="F26" s="1034"/>
    </row>
    <row r="27" spans="1:6" s="1035" customFormat="1" ht="18" customHeight="1">
      <c r="A27" s="1032"/>
      <c r="B27" s="1032"/>
      <c r="C27" s="1033"/>
      <c r="D27" s="1032"/>
      <c r="E27" s="1034"/>
      <c r="F27" s="1034"/>
    </row>
    <row r="28" spans="1:6" s="1035" customFormat="1" ht="18" customHeight="1">
      <c r="A28" s="1032"/>
      <c r="B28" s="1032"/>
      <c r="C28" s="1033"/>
      <c r="D28" s="1032"/>
      <c r="E28" s="1034"/>
      <c r="F28" s="1034"/>
    </row>
    <row r="29" spans="1:6" s="1035" customFormat="1" ht="18" customHeight="1">
      <c r="A29" s="1032"/>
      <c r="B29" s="1032"/>
      <c r="C29" s="1033"/>
      <c r="D29" s="1032"/>
      <c r="E29" s="1034"/>
      <c r="F29" s="1034"/>
    </row>
    <row r="30" spans="1:6" s="1035" customFormat="1" ht="18" customHeight="1">
      <c r="A30" s="1032"/>
      <c r="B30" s="1032"/>
      <c r="C30" s="1033"/>
      <c r="D30" s="1032"/>
      <c r="E30" s="1034"/>
      <c r="F30" s="1034"/>
    </row>
    <row r="31" spans="1:6" s="1035" customFormat="1" ht="18" customHeight="1">
      <c r="A31" s="1032"/>
      <c r="B31" s="1032"/>
      <c r="C31" s="1033"/>
      <c r="D31" s="1032"/>
      <c r="E31" s="1034"/>
      <c r="F31" s="1034"/>
    </row>
    <row r="32" spans="1:6" s="1035" customFormat="1" ht="18" customHeight="1">
      <c r="A32" s="1032"/>
      <c r="B32" s="1032"/>
      <c r="C32" s="1033"/>
      <c r="D32" s="1032"/>
      <c r="E32" s="1034"/>
      <c r="F32" s="1034"/>
    </row>
    <row r="33" spans="1:6" s="1035" customFormat="1" ht="18" customHeight="1">
      <c r="A33" s="1032"/>
      <c r="B33" s="1032"/>
      <c r="C33" s="1033"/>
      <c r="D33" s="1032"/>
      <c r="E33" s="1034"/>
      <c r="F33" s="1034"/>
    </row>
    <row r="34" spans="1:6" s="1035" customFormat="1" ht="18" customHeight="1">
      <c r="A34" s="1032"/>
      <c r="B34" s="1032"/>
      <c r="C34" s="1033"/>
      <c r="D34" s="1032"/>
      <c r="E34" s="1034"/>
      <c r="F34" s="1034"/>
    </row>
    <row r="35" spans="1:6" s="1035" customFormat="1" ht="18" customHeight="1">
      <c r="A35" s="1032"/>
      <c r="B35" s="1032"/>
      <c r="C35" s="1033"/>
      <c r="D35" s="1032"/>
      <c r="E35" s="1034"/>
      <c r="F35" s="1034"/>
    </row>
    <row r="36" spans="1:6" s="1035" customFormat="1" ht="18" customHeight="1">
      <c r="A36" s="1032"/>
      <c r="B36" s="1032"/>
      <c r="C36" s="1033"/>
      <c r="D36" s="1032"/>
      <c r="E36" s="1034"/>
      <c r="F36" s="1034"/>
    </row>
    <row r="37" spans="1:6" s="1035" customFormat="1" ht="18" customHeight="1">
      <c r="A37" s="1032"/>
      <c r="B37" s="1032"/>
      <c r="C37" s="1033"/>
      <c r="D37" s="1032"/>
      <c r="E37" s="1034"/>
      <c r="F37" s="1034"/>
    </row>
    <row r="38" spans="1:6" s="1035" customFormat="1" ht="18" customHeight="1">
      <c r="A38" s="1032"/>
      <c r="B38" s="1032"/>
      <c r="C38" s="1033"/>
      <c r="D38" s="1032"/>
      <c r="E38" s="1034"/>
      <c r="F38" s="1034"/>
    </row>
    <row r="39" spans="1:6" s="1035" customFormat="1" ht="18" customHeight="1">
      <c r="A39" s="1032"/>
      <c r="B39" s="1032"/>
      <c r="C39" s="1033"/>
      <c r="D39" s="1032"/>
      <c r="E39" s="1034"/>
      <c r="F39" s="1034"/>
    </row>
    <row r="40" spans="1:6" s="1035" customFormat="1" ht="18" customHeight="1">
      <c r="A40" s="1032"/>
      <c r="B40" s="1032"/>
      <c r="C40" s="1033"/>
      <c r="D40" s="1032"/>
      <c r="E40" s="1034"/>
      <c r="F40" s="1034"/>
    </row>
    <row r="41" spans="1:6" s="1035" customFormat="1" ht="18" customHeight="1">
      <c r="A41" s="1032"/>
      <c r="B41" s="1032"/>
      <c r="C41" s="1033"/>
      <c r="D41" s="1032"/>
      <c r="E41" s="1034"/>
      <c r="F41" s="1034"/>
    </row>
    <row r="42" spans="1:6" s="1035" customFormat="1" ht="18" customHeight="1">
      <c r="A42" s="1032"/>
      <c r="B42" s="1032"/>
      <c r="C42" s="1033"/>
      <c r="D42" s="1032"/>
      <c r="E42" s="1034"/>
      <c r="F42" s="1034"/>
    </row>
    <row r="43" spans="1:6" s="1035" customFormat="1" ht="18" customHeight="1">
      <c r="A43" s="1032"/>
      <c r="B43" s="1032"/>
      <c r="C43" s="1033"/>
      <c r="D43" s="1032"/>
      <c r="E43" s="1034"/>
      <c r="F43" s="1034"/>
    </row>
    <row r="44" spans="1:6" s="1035" customFormat="1" ht="18" customHeight="1">
      <c r="A44" s="1032"/>
      <c r="B44" s="1032"/>
      <c r="C44" s="1033"/>
      <c r="D44" s="1032"/>
      <c r="E44" s="1034"/>
      <c r="F44" s="1034"/>
    </row>
    <row r="45" spans="1:6" s="1035" customFormat="1" ht="18" customHeight="1">
      <c r="A45" s="1032"/>
      <c r="B45" s="1032"/>
      <c r="C45" s="1033"/>
      <c r="D45" s="1032"/>
      <c r="E45" s="1034"/>
      <c r="F45" s="1034"/>
    </row>
    <row r="46" spans="1:6" s="1035" customFormat="1" ht="18" customHeight="1">
      <c r="A46" s="1032"/>
      <c r="B46" s="1032"/>
      <c r="C46" s="1033"/>
      <c r="D46" s="1032"/>
      <c r="E46" s="1034"/>
      <c r="F46" s="1034"/>
    </row>
    <row r="47" spans="1:6" s="1035" customFormat="1" ht="18" customHeight="1">
      <c r="A47" s="1032"/>
      <c r="B47" s="1032"/>
      <c r="C47" s="1033"/>
      <c r="D47" s="1032"/>
      <c r="E47" s="1034"/>
      <c r="F47" s="1034"/>
    </row>
    <row r="48" spans="1:6" s="1035" customFormat="1" ht="18" customHeight="1">
      <c r="A48" s="1032"/>
      <c r="B48" s="1032"/>
      <c r="C48" s="1033"/>
      <c r="D48" s="1032"/>
      <c r="E48" s="1034"/>
      <c r="F48" s="1034"/>
    </row>
    <row r="49" spans="1:6" s="1035" customFormat="1" ht="18" customHeight="1">
      <c r="A49" s="1032"/>
      <c r="B49" s="1032"/>
      <c r="C49" s="1033"/>
      <c r="D49" s="1032"/>
      <c r="E49" s="1034"/>
      <c r="F49" s="1034"/>
    </row>
    <row r="50" spans="1:6" s="1035" customFormat="1" ht="18" customHeight="1">
      <c r="A50" s="1032"/>
      <c r="B50" s="1032"/>
      <c r="C50" s="1033"/>
      <c r="D50" s="1032"/>
      <c r="E50" s="1034"/>
      <c r="F50" s="1034"/>
    </row>
    <row r="51" spans="1:6" s="1035" customFormat="1" ht="18" customHeight="1">
      <c r="A51" s="1032"/>
      <c r="B51" s="1032"/>
      <c r="C51" s="1033"/>
      <c r="D51" s="1032"/>
      <c r="E51" s="1034"/>
      <c r="F51" s="1034"/>
    </row>
    <row r="52" spans="1:6" s="1035" customFormat="1" ht="18" customHeight="1">
      <c r="A52" s="1032"/>
      <c r="B52" s="1032"/>
      <c r="C52" s="1033"/>
      <c r="D52" s="1032"/>
      <c r="E52" s="1034"/>
      <c r="F52" s="1034"/>
    </row>
    <row r="53" spans="1:6" s="1035" customFormat="1" ht="18" customHeight="1">
      <c r="A53" s="1032"/>
      <c r="B53" s="1032"/>
      <c r="C53" s="1033"/>
      <c r="D53" s="1032"/>
      <c r="E53" s="1034"/>
      <c r="F53" s="1034"/>
    </row>
    <row r="54" spans="1:6" s="1035" customFormat="1" ht="18" customHeight="1">
      <c r="A54" s="1032"/>
      <c r="B54" s="1032"/>
      <c r="C54" s="1033"/>
      <c r="D54" s="1032"/>
      <c r="E54" s="1034"/>
      <c r="F54" s="1034"/>
    </row>
    <row r="55" spans="1:6" s="1035" customFormat="1" ht="18" customHeight="1">
      <c r="A55" s="1032"/>
      <c r="B55" s="1032"/>
      <c r="C55" s="1033"/>
      <c r="D55" s="1032"/>
      <c r="E55" s="1034"/>
      <c r="F55" s="1034"/>
    </row>
    <row r="56" spans="1:6" s="1035" customFormat="1" ht="18" customHeight="1">
      <c r="A56" s="1032"/>
      <c r="B56" s="1032"/>
      <c r="C56" s="1033"/>
      <c r="D56" s="1032"/>
      <c r="E56" s="1034"/>
      <c r="F56" s="1034"/>
    </row>
    <row r="57" spans="1:6" s="1035" customFormat="1" ht="18" customHeight="1">
      <c r="A57" s="1032"/>
      <c r="B57" s="1032"/>
      <c r="C57" s="1033"/>
      <c r="D57" s="1032"/>
      <c r="E57" s="1034"/>
      <c r="F57" s="1034"/>
    </row>
    <row r="58" spans="1:6" s="1035" customFormat="1" ht="18" customHeight="1">
      <c r="A58" s="1032"/>
      <c r="B58" s="1032"/>
      <c r="C58" s="1033"/>
      <c r="D58" s="1032"/>
      <c r="E58" s="1034"/>
      <c r="F58" s="1034"/>
    </row>
    <row r="59" spans="1:6" s="1035" customFormat="1" ht="18" customHeight="1">
      <c r="A59" s="1032"/>
      <c r="B59" s="1032"/>
      <c r="C59" s="1033"/>
      <c r="D59" s="1032"/>
      <c r="E59" s="1034"/>
      <c r="F59" s="1034"/>
    </row>
    <row r="60" spans="1:6" s="1035" customFormat="1" ht="18" customHeight="1">
      <c r="A60" s="1032"/>
      <c r="B60" s="1032"/>
      <c r="C60" s="1033"/>
      <c r="D60" s="1032"/>
      <c r="E60" s="1034"/>
      <c r="F60" s="1034"/>
    </row>
    <row r="61" spans="1:6" s="1035" customFormat="1" ht="18" customHeight="1">
      <c r="A61" s="1032"/>
      <c r="B61" s="1032"/>
      <c r="C61" s="1033"/>
      <c r="D61" s="1032"/>
      <c r="E61" s="1034"/>
      <c r="F61" s="1034"/>
    </row>
    <row r="62" spans="1:6" s="1035" customFormat="1" ht="18" customHeight="1">
      <c r="A62" s="1032"/>
      <c r="B62" s="1032"/>
      <c r="C62" s="1033"/>
      <c r="D62" s="1032"/>
      <c r="E62" s="1034"/>
      <c r="F62" s="1034"/>
    </row>
    <row r="63" spans="1:6" s="1035" customFormat="1" ht="18" customHeight="1">
      <c r="A63" s="1032"/>
      <c r="B63" s="1032"/>
      <c r="C63" s="1033"/>
      <c r="D63" s="1032"/>
      <c r="E63" s="1034"/>
      <c r="F63" s="1034"/>
    </row>
    <row r="64" spans="1:6" s="1035" customFormat="1" ht="18" customHeight="1">
      <c r="A64" s="1032"/>
      <c r="B64" s="1032"/>
      <c r="C64" s="1033"/>
      <c r="D64" s="1032"/>
      <c r="E64" s="1034"/>
      <c r="F64" s="1034"/>
    </row>
    <row r="65" spans="1:6" s="1035" customFormat="1" ht="18" customHeight="1">
      <c r="A65" s="1032"/>
      <c r="B65" s="1032"/>
      <c r="C65" s="1033"/>
      <c r="D65" s="1032"/>
      <c r="E65" s="1034"/>
      <c r="F65" s="1034"/>
    </row>
    <row r="66" spans="1:6" s="1035" customFormat="1" ht="18" customHeight="1">
      <c r="A66" s="1032"/>
      <c r="B66" s="1032"/>
      <c r="C66" s="1033"/>
      <c r="D66" s="1032"/>
      <c r="E66" s="1034"/>
      <c r="F66" s="1034"/>
    </row>
    <row r="67" spans="1:6" s="1035" customFormat="1" ht="18" customHeight="1">
      <c r="A67" s="1032"/>
      <c r="B67" s="1032"/>
      <c r="C67" s="1033"/>
      <c r="D67" s="1032"/>
      <c r="E67" s="1034"/>
      <c r="F67" s="1034"/>
    </row>
    <row r="68" spans="1:6" s="1035" customFormat="1" ht="18" customHeight="1">
      <c r="A68" s="1032"/>
      <c r="B68" s="1032"/>
      <c r="C68" s="1033"/>
      <c r="D68" s="1032"/>
      <c r="E68" s="1034"/>
      <c r="F68" s="1034"/>
    </row>
    <row r="69" spans="1:6" s="1035" customFormat="1" ht="18" customHeight="1">
      <c r="A69" s="1032"/>
      <c r="B69" s="1032"/>
      <c r="C69" s="1033"/>
      <c r="D69" s="1032"/>
      <c r="E69" s="1034"/>
      <c r="F69" s="1034"/>
    </row>
    <row r="70" spans="1:6" s="1035" customFormat="1" ht="18" customHeight="1">
      <c r="A70" s="1032"/>
      <c r="B70" s="1032"/>
      <c r="C70" s="1033"/>
      <c r="D70" s="1032"/>
      <c r="E70" s="1034"/>
      <c r="F70" s="1034"/>
    </row>
    <row r="71" spans="1:6" s="1035" customFormat="1" ht="18" customHeight="1">
      <c r="A71" s="1032"/>
      <c r="B71" s="1032"/>
      <c r="C71" s="1033"/>
      <c r="D71" s="1032"/>
      <c r="E71" s="1034"/>
      <c r="F71" s="1034"/>
    </row>
    <row r="72" spans="1:6" s="1035" customFormat="1" ht="18" customHeight="1">
      <c r="A72" s="1032"/>
      <c r="B72" s="1032"/>
      <c r="C72" s="1033"/>
      <c r="D72" s="1032"/>
      <c r="E72" s="1034"/>
      <c r="F72" s="1034"/>
    </row>
    <row r="73" spans="1:6" s="1035" customFormat="1" ht="18" customHeight="1">
      <c r="A73" s="1032"/>
      <c r="B73" s="1032"/>
      <c r="C73" s="1033"/>
      <c r="D73" s="1032"/>
      <c r="E73" s="1034"/>
      <c r="F73" s="1034"/>
    </row>
    <row r="74" spans="1:6" s="1035" customFormat="1" ht="18" customHeight="1">
      <c r="A74" s="1032"/>
      <c r="B74" s="1032"/>
      <c r="C74" s="1033"/>
      <c r="D74" s="1032"/>
      <c r="E74" s="1034"/>
      <c r="F74" s="1034"/>
    </row>
    <row r="75" spans="1:6" s="1035" customFormat="1" ht="18" customHeight="1">
      <c r="A75" s="1032"/>
      <c r="B75" s="1032"/>
      <c r="C75" s="1033"/>
      <c r="D75" s="1032"/>
      <c r="E75" s="1034"/>
      <c r="F75" s="1034"/>
    </row>
    <row r="76" spans="1:6" s="1035" customFormat="1" ht="18" customHeight="1">
      <c r="A76" s="1032"/>
      <c r="B76" s="1032"/>
      <c r="C76" s="1033"/>
      <c r="D76" s="1032"/>
      <c r="E76" s="1034"/>
      <c r="F76" s="1034"/>
    </row>
    <row r="77" spans="1:6" s="1035" customFormat="1" ht="18" customHeight="1">
      <c r="A77" s="1032"/>
      <c r="B77" s="1032"/>
      <c r="C77" s="1033"/>
      <c r="D77" s="1032"/>
      <c r="E77" s="1034"/>
      <c r="F77" s="1034"/>
    </row>
    <row r="78" spans="1:6" s="1035" customFormat="1" ht="18" customHeight="1">
      <c r="A78" s="1032"/>
      <c r="B78" s="1032"/>
      <c r="C78" s="1033"/>
      <c r="D78" s="1032"/>
      <c r="E78" s="1034"/>
      <c r="F78" s="1034"/>
    </row>
    <row r="79" spans="1:6" s="1035" customFormat="1" ht="18" customHeight="1">
      <c r="A79" s="1032"/>
      <c r="B79" s="1032"/>
      <c r="C79" s="1033"/>
      <c r="D79" s="1032"/>
      <c r="E79" s="1034"/>
      <c r="F79" s="1034"/>
    </row>
    <row r="80" spans="1:6" s="1035" customFormat="1" ht="18" customHeight="1">
      <c r="A80" s="1032"/>
      <c r="B80" s="1032"/>
      <c r="C80" s="1033"/>
      <c r="D80" s="1032"/>
      <c r="E80" s="1034"/>
      <c r="F80" s="1034"/>
    </row>
    <row r="81" spans="1:6" s="1035" customFormat="1" ht="18" customHeight="1">
      <c r="A81" s="1032"/>
      <c r="B81" s="1032"/>
      <c r="C81" s="1033"/>
      <c r="D81" s="1032"/>
      <c r="E81" s="1034"/>
      <c r="F81" s="1034"/>
    </row>
    <row r="82" spans="1:6" s="1035" customFormat="1" ht="18" customHeight="1">
      <c r="A82" s="1032"/>
      <c r="B82" s="1032"/>
      <c r="C82" s="1033"/>
      <c r="D82" s="1032"/>
      <c r="E82" s="1034"/>
      <c r="F82" s="1034"/>
    </row>
    <row r="83" spans="1:6" s="1035" customFormat="1" ht="18" customHeight="1">
      <c r="A83" s="1032"/>
      <c r="B83" s="1032"/>
      <c r="C83" s="1033"/>
      <c r="D83" s="1032"/>
      <c r="E83" s="1034"/>
      <c r="F83" s="1034"/>
    </row>
    <row r="84" spans="1:6" s="1035" customFormat="1" ht="18" customHeight="1">
      <c r="A84" s="1032"/>
      <c r="B84" s="1032"/>
      <c r="C84" s="1033"/>
      <c r="D84" s="1032"/>
      <c r="E84" s="1034"/>
      <c r="F84" s="1034"/>
    </row>
    <row r="85" spans="1:6" s="1035" customFormat="1" ht="18" customHeight="1">
      <c r="A85" s="1032"/>
      <c r="B85" s="1032"/>
      <c r="C85" s="1033"/>
      <c r="D85" s="1032"/>
      <c r="E85" s="1034"/>
      <c r="F85" s="1034"/>
    </row>
    <row r="86" spans="1:6" s="1035" customFormat="1" ht="18" customHeight="1">
      <c r="A86" s="1032"/>
      <c r="B86" s="1032"/>
      <c r="C86" s="1033"/>
      <c r="D86" s="1032"/>
      <c r="E86" s="1034"/>
      <c r="F86" s="1034"/>
    </row>
    <row r="87" spans="1:6" s="1035" customFormat="1" ht="18" customHeight="1">
      <c r="A87" s="1032"/>
      <c r="B87" s="1032"/>
      <c r="C87" s="1033"/>
      <c r="D87" s="1032"/>
      <c r="E87" s="1034"/>
      <c r="F87" s="1034"/>
    </row>
    <row r="88" spans="1:6" s="1035" customFormat="1" ht="18" customHeight="1">
      <c r="A88" s="1032"/>
      <c r="B88" s="1032"/>
      <c r="C88" s="1033"/>
      <c r="D88" s="1032"/>
      <c r="E88" s="1034"/>
      <c r="F88" s="1034"/>
    </row>
    <row r="89" spans="1:6" s="1035" customFormat="1" ht="18" customHeight="1">
      <c r="A89" s="1032"/>
      <c r="B89" s="1032"/>
      <c r="C89" s="1033"/>
      <c r="D89" s="1032"/>
      <c r="E89" s="1034"/>
      <c r="F89" s="1034"/>
    </row>
    <row r="90" spans="1:6" s="1035" customFormat="1" ht="18" customHeight="1">
      <c r="A90" s="1032"/>
      <c r="B90" s="1032"/>
      <c r="C90" s="1033"/>
      <c r="D90" s="1032"/>
      <c r="E90" s="1034"/>
      <c r="F90" s="1034"/>
    </row>
    <row r="91" spans="1:6" s="1035" customFormat="1" ht="18" customHeight="1">
      <c r="A91" s="1032"/>
      <c r="B91" s="1032"/>
      <c r="C91" s="1033"/>
      <c r="D91" s="1032"/>
      <c r="E91" s="1034"/>
      <c r="F91" s="1034"/>
    </row>
    <row r="92" spans="1:6" s="1035" customFormat="1" ht="18" customHeight="1">
      <c r="A92" s="1032"/>
      <c r="B92" s="1032"/>
      <c r="C92" s="1033"/>
      <c r="D92" s="1032"/>
      <c r="E92" s="1034"/>
      <c r="F92" s="1034"/>
    </row>
    <row r="93" spans="1:6" s="1035" customFormat="1" ht="18" customHeight="1">
      <c r="A93" s="1032"/>
      <c r="B93" s="1032"/>
      <c r="C93" s="1033"/>
      <c r="D93" s="1032"/>
      <c r="E93" s="1034"/>
      <c r="F93" s="1034"/>
    </row>
    <row r="94" spans="1:6" s="1035" customFormat="1" ht="18" customHeight="1">
      <c r="A94" s="1032"/>
      <c r="B94" s="1032"/>
      <c r="C94" s="1033"/>
      <c r="D94" s="1032"/>
      <c r="E94" s="1034"/>
      <c r="F94" s="1034"/>
    </row>
    <row r="95" spans="1:6" s="1035" customFormat="1" ht="18" customHeight="1">
      <c r="A95" s="1032"/>
      <c r="B95" s="1032"/>
      <c r="C95" s="1033"/>
      <c r="D95" s="1032"/>
      <c r="E95" s="1034"/>
      <c r="F95" s="1034"/>
    </row>
    <row r="96" spans="1:6" s="1035" customFormat="1" ht="18" customHeight="1">
      <c r="A96" s="1032"/>
      <c r="B96" s="1032"/>
      <c r="C96" s="1033"/>
      <c r="D96" s="1032"/>
      <c r="E96" s="1034"/>
      <c r="F96" s="1034"/>
    </row>
    <row r="97" spans="1:6" s="1035" customFormat="1" ht="18" customHeight="1">
      <c r="A97" s="1032"/>
      <c r="B97" s="1032"/>
      <c r="C97" s="1033"/>
      <c r="D97" s="1032"/>
      <c r="E97" s="1034"/>
      <c r="F97" s="1034"/>
    </row>
    <row r="98" spans="1:6" s="1035" customFormat="1" ht="18" customHeight="1">
      <c r="A98" s="1032"/>
      <c r="B98" s="1032"/>
      <c r="C98" s="1033"/>
      <c r="D98" s="1032"/>
      <c r="E98" s="1034"/>
      <c r="F98" s="1034"/>
    </row>
    <row r="99" spans="1:6" s="1035" customFormat="1" ht="18" customHeight="1">
      <c r="A99" s="1032"/>
      <c r="B99" s="1032"/>
      <c r="C99" s="1033"/>
      <c r="D99" s="1032"/>
      <c r="E99" s="1034"/>
      <c r="F99" s="1034"/>
    </row>
    <row r="100" spans="1:6" s="1035" customFormat="1" ht="18" customHeight="1">
      <c r="A100" s="1032"/>
      <c r="B100" s="1032"/>
      <c r="C100" s="1033"/>
      <c r="D100" s="1032"/>
      <c r="E100" s="1034"/>
      <c r="F100" s="1034"/>
    </row>
    <row r="101" spans="1:6" s="1035" customFormat="1" ht="18" customHeight="1">
      <c r="A101" s="1032"/>
      <c r="B101" s="1032"/>
      <c r="C101" s="1033"/>
      <c r="D101" s="1032"/>
      <c r="E101" s="1034"/>
      <c r="F101" s="1034"/>
    </row>
    <row r="102" spans="1:6" s="1035" customFormat="1" ht="18" customHeight="1">
      <c r="A102" s="1032"/>
      <c r="B102" s="1032"/>
      <c r="C102" s="1033"/>
      <c r="D102" s="1032"/>
      <c r="E102" s="1034"/>
      <c r="F102" s="1034"/>
    </row>
    <row r="103" spans="1:6" s="1035" customFormat="1" ht="18" customHeight="1">
      <c r="A103" s="1032"/>
      <c r="B103" s="1032"/>
      <c r="C103" s="1033"/>
      <c r="D103" s="1032"/>
      <c r="E103" s="1034"/>
      <c r="F103" s="1034"/>
    </row>
    <row r="104" spans="1:6" s="1035" customFormat="1" ht="18" customHeight="1">
      <c r="A104" s="1032"/>
      <c r="B104" s="1032"/>
      <c r="C104" s="1033"/>
      <c r="D104" s="1032"/>
      <c r="E104" s="1034"/>
      <c r="F104" s="1034"/>
    </row>
    <row r="105" spans="1:6" s="1035" customFormat="1" ht="18" customHeight="1">
      <c r="A105" s="1032"/>
      <c r="B105" s="1032"/>
      <c r="C105" s="1033"/>
      <c r="D105" s="1032"/>
      <c r="E105" s="1034"/>
      <c r="F105" s="1034"/>
    </row>
    <row r="106" spans="1:6" s="1035" customFormat="1" ht="18" customHeight="1">
      <c r="A106" s="1032"/>
      <c r="B106" s="1032"/>
      <c r="C106" s="1033"/>
      <c r="D106" s="1032"/>
      <c r="E106" s="1034"/>
      <c r="F106" s="1034"/>
    </row>
    <row r="107" spans="1:6" s="1035" customFormat="1" ht="18" customHeight="1">
      <c r="A107" s="1032"/>
      <c r="B107" s="1032"/>
      <c r="C107" s="1033"/>
      <c r="D107" s="1032"/>
      <c r="E107" s="1034"/>
      <c r="F107" s="1034"/>
    </row>
    <row r="108" spans="1:6" s="1035" customFormat="1" ht="18" customHeight="1">
      <c r="A108" s="1032"/>
      <c r="B108" s="1032"/>
      <c r="C108" s="1033"/>
      <c r="D108" s="1032"/>
      <c r="E108" s="1034"/>
      <c r="F108" s="1034"/>
    </row>
    <row r="109" spans="1:6" s="1035" customFormat="1" ht="18" customHeight="1">
      <c r="A109" s="1032"/>
      <c r="B109" s="1032"/>
      <c r="C109" s="1033"/>
      <c r="D109" s="1032"/>
      <c r="E109" s="1034"/>
      <c r="F109" s="1034"/>
    </row>
    <row r="110" spans="1:6" s="1035" customFormat="1" ht="18" customHeight="1">
      <c r="A110" s="1032"/>
      <c r="B110" s="1032"/>
      <c r="C110" s="1033"/>
      <c r="D110" s="1032"/>
      <c r="E110" s="1034"/>
      <c r="F110" s="1034"/>
    </row>
    <row r="111" spans="1:6" s="1035" customFormat="1" ht="18" customHeight="1">
      <c r="A111" s="1032"/>
      <c r="B111" s="1032"/>
      <c r="C111" s="1033"/>
      <c r="D111" s="1032"/>
      <c r="E111" s="1034"/>
      <c r="F111" s="1034"/>
    </row>
    <row r="112" spans="1:6" s="1035" customFormat="1" ht="18" customHeight="1">
      <c r="A112" s="1032"/>
      <c r="B112" s="1032"/>
      <c r="C112" s="1033"/>
      <c r="D112" s="1032"/>
      <c r="E112" s="1034"/>
      <c r="F112" s="1034"/>
    </row>
    <row r="113" spans="1:6" s="1035" customFormat="1" ht="18" customHeight="1">
      <c r="A113" s="1032"/>
      <c r="B113" s="1032"/>
      <c r="C113" s="1033"/>
      <c r="D113" s="1032"/>
      <c r="E113" s="1034"/>
      <c r="F113" s="1034"/>
    </row>
    <row r="114" spans="1:6" s="1035" customFormat="1" ht="18" customHeight="1">
      <c r="A114" s="1032"/>
      <c r="B114" s="1032"/>
      <c r="C114" s="1033"/>
      <c r="D114" s="1032"/>
      <c r="E114" s="1034"/>
      <c r="F114" s="1034"/>
    </row>
    <row r="115" spans="1:6" s="1035" customFormat="1" ht="18" customHeight="1">
      <c r="A115" s="1032"/>
      <c r="B115" s="1032"/>
      <c r="C115" s="1033"/>
      <c r="D115" s="1032"/>
      <c r="E115" s="1034"/>
      <c r="F115" s="1034"/>
    </row>
    <row r="116" spans="1:6" s="1035" customFormat="1" ht="18" customHeight="1">
      <c r="A116" s="1032"/>
      <c r="B116" s="1032"/>
      <c r="C116" s="1033"/>
      <c r="D116" s="1032"/>
      <c r="E116" s="1034"/>
      <c r="F116" s="1034"/>
    </row>
    <row r="117" spans="1:6" s="1035" customFormat="1" ht="18" customHeight="1">
      <c r="A117" s="1032"/>
      <c r="B117" s="1032"/>
      <c r="C117" s="1033"/>
      <c r="D117" s="1032"/>
      <c r="E117" s="1034"/>
      <c r="F117" s="1034"/>
    </row>
    <row r="118" spans="1:6" s="1035" customFormat="1" ht="18" customHeight="1">
      <c r="A118" s="1032"/>
      <c r="B118" s="1032"/>
      <c r="C118" s="1033"/>
      <c r="D118" s="1032"/>
      <c r="E118" s="1034"/>
      <c r="F118" s="1034"/>
    </row>
    <row r="119" spans="1:6" s="1035" customFormat="1" ht="18" customHeight="1">
      <c r="A119" s="1032"/>
      <c r="B119" s="1032"/>
      <c r="C119" s="1033"/>
      <c r="D119" s="1032"/>
      <c r="E119" s="1034"/>
      <c r="F119" s="1034"/>
    </row>
    <row r="120" spans="1:6" s="1035" customFormat="1" ht="18" customHeight="1">
      <c r="A120" s="1032"/>
      <c r="B120" s="1032"/>
      <c r="C120" s="1033"/>
      <c r="D120" s="1032"/>
      <c r="E120" s="1034"/>
      <c r="F120" s="1034"/>
    </row>
    <row r="121" spans="1:6" s="1035" customFormat="1" ht="18" customHeight="1">
      <c r="A121" s="1032"/>
      <c r="B121" s="1032"/>
      <c r="C121" s="1033"/>
      <c r="D121" s="1032"/>
      <c r="E121" s="1034"/>
      <c r="F121" s="1034"/>
    </row>
    <row r="122" spans="1:6" s="1035" customFormat="1" ht="18" customHeight="1">
      <c r="A122" s="1032"/>
      <c r="B122" s="1032"/>
      <c r="C122" s="1033"/>
      <c r="D122" s="1032"/>
      <c r="E122" s="1034"/>
      <c r="F122" s="1034"/>
    </row>
    <row r="123" spans="1:6" s="1035" customFormat="1" ht="18" customHeight="1">
      <c r="A123" s="1032"/>
      <c r="B123" s="1032"/>
      <c r="C123" s="1033"/>
      <c r="D123" s="1032"/>
      <c r="E123" s="1034"/>
      <c r="F123" s="1034"/>
    </row>
    <row r="124" spans="1:6" s="1035" customFormat="1" ht="18" customHeight="1">
      <c r="A124" s="1032"/>
      <c r="B124" s="1032"/>
      <c r="C124" s="1033"/>
      <c r="D124" s="1032"/>
      <c r="E124" s="1034"/>
      <c r="F124" s="1034"/>
    </row>
    <row r="125" spans="1:6" s="1035" customFormat="1" ht="18" customHeight="1">
      <c r="A125" s="1032"/>
      <c r="B125" s="1032"/>
      <c r="C125" s="1033"/>
      <c r="D125" s="1032"/>
      <c r="E125" s="1034"/>
      <c r="F125" s="1034"/>
    </row>
    <row r="126" spans="1:6" s="1035" customFormat="1" ht="18" customHeight="1">
      <c r="A126" s="1032"/>
      <c r="B126" s="1032"/>
      <c r="C126" s="1033"/>
      <c r="D126" s="1032"/>
      <c r="E126" s="1034"/>
      <c r="F126" s="1034"/>
    </row>
    <row r="127" spans="1:6" s="1035" customFormat="1" ht="18" customHeight="1">
      <c r="A127" s="1032"/>
      <c r="B127" s="1032"/>
      <c r="C127" s="1033"/>
      <c r="D127" s="1032"/>
      <c r="E127" s="1034"/>
      <c r="F127" s="1034"/>
    </row>
    <row r="128" spans="1:6" s="1035" customFormat="1" ht="18" customHeight="1">
      <c r="A128" s="1032"/>
      <c r="B128" s="1032"/>
      <c r="C128" s="1033"/>
      <c r="D128" s="1032"/>
      <c r="E128" s="1034"/>
      <c r="F128" s="1034"/>
    </row>
    <row r="129" spans="1:6" s="1035" customFormat="1" ht="18" customHeight="1">
      <c r="A129" s="1032"/>
      <c r="B129" s="1032"/>
      <c r="C129" s="1033"/>
      <c r="D129" s="1032"/>
      <c r="E129" s="1034"/>
      <c r="F129" s="1034"/>
    </row>
    <row r="130" spans="1:6" s="1035" customFormat="1" ht="18" customHeight="1">
      <c r="A130" s="1032"/>
      <c r="B130" s="1032"/>
      <c r="C130" s="1033"/>
      <c r="D130" s="1032"/>
      <c r="E130" s="1034"/>
      <c r="F130" s="1034"/>
    </row>
    <row r="131" spans="1:6" s="1035" customFormat="1" ht="18" customHeight="1">
      <c r="A131" s="1032"/>
      <c r="B131" s="1032"/>
      <c r="C131" s="1033"/>
      <c r="D131" s="1032"/>
      <c r="E131" s="1034"/>
      <c r="F131" s="1034"/>
    </row>
    <row r="132" spans="1:6" s="1035" customFormat="1" ht="18" customHeight="1">
      <c r="A132" s="1032"/>
      <c r="B132" s="1032"/>
      <c r="C132" s="1033"/>
      <c r="D132" s="1032"/>
      <c r="E132" s="1034"/>
      <c r="F132" s="1034"/>
    </row>
    <row r="133" spans="1:6" s="1035" customFormat="1" ht="18" customHeight="1">
      <c r="A133" s="1032"/>
      <c r="B133" s="1032"/>
      <c r="C133" s="1033"/>
      <c r="D133" s="1032"/>
      <c r="E133" s="1034"/>
      <c r="F133" s="1034"/>
    </row>
    <row r="134" spans="1:6" s="1035" customFormat="1" ht="18" customHeight="1">
      <c r="A134" s="1032"/>
      <c r="B134" s="1032"/>
      <c r="C134" s="1033"/>
      <c r="D134" s="1032"/>
      <c r="E134" s="1034"/>
      <c r="F134" s="1034"/>
    </row>
    <row r="135" spans="1:6" s="1035" customFormat="1" ht="18" customHeight="1">
      <c r="A135" s="1032"/>
      <c r="B135" s="1032"/>
      <c r="C135" s="1033"/>
      <c r="D135" s="1032"/>
      <c r="E135" s="1034"/>
      <c r="F135" s="1034"/>
    </row>
    <row r="136" spans="1:6" s="1035" customFormat="1" ht="18" customHeight="1">
      <c r="A136" s="1032"/>
      <c r="B136" s="1032"/>
      <c r="C136" s="1033"/>
      <c r="D136" s="1032"/>
      <c r="E136" s="1034"/>
      <c r="F136" s="1034"/>
    </row>
    <row r="137" spans="1:6" s="1035" customFormat="1" ht="18" customHeight="1">
      <c r="A137" s="1032"/>
      <c r="B137" s="1032"/>
      <c r="C137" s="1033"/>
      <c r="D137" s="1032"/>
      <c r="E137" s="1034"/>
      <c r="F137" s="1034"/>
    </row>
    <row r="138" spans="1:6" s="1035" customFormat="1" ht="18" customHeight="1">
      <c r="A138" s="1032"/>
      <c r="B138" s="1032"/>
      <c r="C138" s="1033"/>
      <c r="D138" s="1032"/>
      <c r="E138" s="1034"/>
      <c r="F138" s="1034"/>
    </row>
    <row r="139" spans="1:6" s="1035" customFormat="1" ht="18" customHeight="1">
      <c r="A139" s="1032"/>
      <c r="B139" s="1032"/>
      <c r="C139" s="1033"/>
      <c r="D139" s="1032"/>
      <c r="E139" s="1034"/>
      <c r="F139" s="1034"/>
    </row>
    <row r="140" spans="1:6" s="1035" customFormat="1" ht="18" customHeight="1">
      <c r="A140" s="1032"/>
      <c r="B140" s="1032"/>
      <c r="C140" s="1033"/>
      <c r="D140" s="1032"/>
      <c r="E140" s="1034"/>
      <c r="F140" s="1034"/>
    </row>
    <row r="141" spans="1:6" s="1035" customFormat="1" ht="18" customHeight="1">
      <c r="A141" s="1032"/>
      <c r="B141" s="1032"/>
      <c r="C141" s="1033"/>
      <c r="D141" s="1032"/>
      <c r="E141" s="1034"/>
      <c r="F141" s="1034"/>
    </row>
    <row r="142" spans="1:6" s="1035" customFormat="1" ht="18" customHeight="1">
      <c r="A142" s="1032"/>
      <c r="B142" s="1032"/>
      <c r="C142" s="1033"/>
      <c r="D142" s="1032"/>
      <c r="E142" s="1034"/>
      <c r="F142" s="1034"/>
    </row>
    <row r="143" spans="1:6" s="1035" customFormat="1" ht="18" customHeight="1">
      <c r="A143" s="1032"/>
      <c r="B143" s="1032"/>
      <c r="C143" s="1033"/>
      <c r="D143" s="1032"/>
      <c r="E143" s="1034"/>
      <c r="F143" s="1034"/>
    </row>
    <row r="144" spans="1:6" s="1035" customFormat="1" ht="18" customHeight="1">
      <c r="A144" s="1032"/>
      <c r="B144" s="1032"/>
      <c r="C144" s="1033"/>
      <c r="D144" s="1032"/>
      <c r="E144" s="1034"/>
      <c r="F144" s="1034"/>
    </row>
    <row r="145" spans="1:6" s="1035" customFormat="1" ht="18" customHeight="1">
      <c r="A145" s="1032"/>
      <c r="B145" s="1032"/>
      <c r="C145" s="1033"/>
      <c r="D145" s="1032"/>
      <c r="E145" s="1034"/>
      <c r="F145" s="1034"/>
    </row>
    <row r="146" spans="1:6" s="1035" customFormat="1" ht="18" customHeight="1">
      <c r="A146" s="1032"/>
      <c r="B146" s="1032"/>
      <c r="C146" s="1033"/>
      <c r="D146" s="1032"/>
      <c r="E146" s="1034"/>
      <c r="F146" s="1034"/>
    </row>
    <row r="147" spans="1:6" s="1035" customFormat="1" ht="18" customHeight="1">
      <c r="A147" s="1032"/>
      <c r="B147" s="1032"/>
      <c r="C147" s="1033"/>
      <c r="D147" s="1032"/>
      <c r="E147" s="1034"/>
      <c r="F147" s="1034"/>
    </row>
    <row r="148" spans="1:6" s="1035" customFormat="1" ht="18" customHeight="1">
      <c r="A148" s="1032"/>
      <c r="B148" s="1032"/>
      <c r="C148" s="1033"/>
      <c r="D148" s="1032"/>
      <c r="E148" s="1034"/>
      <c r="F148" s="1034"/>
    </row>
    <row r="149" spans="1:6" s="1035" customFormat="1" ht="18" customHeight="1">
      <c r="A149" s="1032"/>
      <c r="B149" s="1032"/>
      <c r="C149" s="1033"/>
      <c r="D149" s="1032"/>
      <c r="E149" s="1034"/>
      <c r="F149" s="1034"/>
    </row>
    <row r="150" spans="1:6" s="1035" customFormat="1" ht="18" customHeight="1">
      <c r="A150" s="1032"/>
      <c r="B150" s="1032"/>
      <c r="C150" s="1033"/>
      <c r="D150" s="1032"/>
      <c r="E150" s="1034"/>
      <c r="F150" s="1034"/>
    </row>
    <row r="151" spans="1:6" s="1035" customFormat="1" ht="18" customHeight="1">
      <c r="A151" s="1032"/>
      <c r="B151" s="1032"/>
      <c r="C151" s="1033"/>
      <c r="D151" s="1032"/>
      <c r="E151" s="1034"/>
      <c r="F151" s="1034"/>
    </row>
    <row r="152" spans="1:6" s="1035" customFormat="1" ht="18" customHeight="1">
      <c r="A152" s="1032"/>
      <c r="B152" s="1032"/>
      <c r="C152" s="1033"/>
      <c r="D152" s="1032"/>
      <c r="E152" s="1034"/>
      <c r="F152" s="1034"/>
    </row>
    <row r="153" spans="1:6" s="1035" customFormat="1" ht="18" customHeight="1">
      <c r="A153" s="1032"/>
      <c r="B153" s="1032"/>
      <c r="C153" s="1033"/>
      <c r="D153" s="1032"/>
      <c r="E153" s="1034"/>
      <c r="F153" s="1034"/>
    </row>
    <row r="154" spans="1:6" s="1035" customFormat="1" ht="18" customHeight="1">
      <c r="A154" s="1032"/>
      <c r="B154" s="1032"/>
      <c r="C154" s="1033"/>
      <c r="D154" s="1032"/>
      <c r="E154" s="1034"/>
      <c r="F154" s="1034"/>
    </row>
    <row r="155" spans="1:6" s="1035" customFormat="1" ht="18" customHeight="1">
      <c r="A155" s="1032"/>
      <c r="B155" s="1032"/>
      <c r="C155" s="1033"/>
      <c r="D155" s="1032"/>
      <c r="E155" s="1034"/>
      <c r="F155" s="1034"/>
    </row>
    <row r="156" spans="1:6" s="1035" customFormat="1" ht="18" customHeight="1">
      <c r="A156" s="1032"/>
      <c r="B156" s="1032"/>
      <c r="C156" s="1033"/>
      <c r="D156" s="1032"/>
      <c r="E156" s="1034"/>
      <c r="F156" s="1034"/>
    </row>
    <row r="157" spans="1:6" s="1035" customFormat="1" ht="18" customHeight="1">
      <c r="A157" s="1032"/>
      <c r="B157" s="1032"/>
      <c r="C157" s="1033"/>
      <c r="D157" s="1032"/>
      <c r="E157" s="1034"/>
      <c r="F157" s="1034"/>
    </row>
    <row r="158" spans="1:6" s="1035" customFormat="1" ht="18" customHeight="1">
      <c r="A158" s="1032"/>
      <c r="B158" s="1032"/>
      <c r="C158" s="1033"/>
      <c r="D158" s="1032"/>
      <c r="E158" s="1034"/>
      <c r="F158" s="1034"/>
    </row>
    <row r="159" spans="1:6" s="1035" customFormat="1" ht="18" customHeight="1">
      <c r="A159" s="1032"/>
      <c r="B159" s="1032"/>
      <c r="C159" s="1033"/>
      <c r="D159" s="1032"/>
      <c r="E159" s="1034"/>
      <c r="F159" s="1034"/>
    </row>
    <row r="160" spans="1:6" s="1035" customFormat="1" ht="18" customHeight="1">
      <c r="A160" s="1032"/>
      <c r="B160" s="1032"/>
      <c r="C160" s="1033"/>
      <c r="D160" s="1032"/>
      <c r="E160" s="1034"/>
      <c r="F160" s="1034"/>
    </row>
    <row r="161" spans="1:6" s="1035" customFormat="1" ht="18" customHeight="1">
      <c r="A161" s="1032"/>
      <c r="B161" s="1032"/>
      <c r="C161" s="1033"/>
      <c r="D161" s="1032"/>
      <c r="E161" s="1034"/>
      <c r="F161" s="1034"/>
    </row>
    <row r="162" spans="1:6" s="1035" customFormat="1" ht="18" customHeight="1">
      <c r="A162" s="1032"/>
      <c r="B162" s="1032"/>
      <c r="C162" s="1033"/>
      <c r="D162" s="1032"/>
      <c r="E162" s="1034"/>
      <c r="F162" s="1034"/>
    </row>
    <row r="163" spans="1:6" s="1035" customFormat="1" ht="18" customHeight="1">
      <c r="A163" s="1032"/>
      <c r="B163" s="1032"/>
      <c r="C163" s="1033"/>
      <c r="D163" s="1032"/>
      <c r="E163" s="1034"/>
      <c r="F163" s="1034"/>
    </row>
    <row r="164" spans="1:6" s="1035" customFormat="1" ht="18" customHeight="1">
      <c r="A164" s="1032"/>
      <c r="B164" s="1032"/>
      <c r="C164" s="1033"/>
      <c r="D164" s="1032"/>
      <c r="E164" s="1034"/>
      <c r="F164" s="1034"/>
    </row>
    <row r="165" spans="1:6" s="1035" customFormat="1" ht="18" customHeight="1">
      <c r="A165" s="1032"/>
      <c r="B165" s="1032"/>
      <c r="C165" s="1033"/>
      <c r="D165" s="1032"/>
      <c r="E165" s="1034"/>
      <c r="F165" s="1034"/>
    </row>
    <row r="166" spans="1:6" s="1035" customFormat="1" ht="18" customHeight="1">
      <c r="A166" s="1032"/>
      <c r="B166" s="1032"/>
      <c r="C166" s="1033"/>
      <c r="D166" s="1032"/>
      <c r="E166" s="1034"/>
      <c r="F166" s="1034"/>
    </row>
    <row r="167" spans="1:6" s="1035" customFormat="1" ht="18" customHeight="1">
      <c r="A167" s="1032"/>
      <c r="B167" s="1032"/>
      <c r="C167" s="1033"/>
      <c r="D167" s="1032"/>
      <c r="E167" s="1034"/>
      <c r="F167" s="1034"/>
    </row>
    <row r="168" spans="1:6" s="1035" customFormat="1" ht="18" customHeight="1">
      <c r="A168" s="1032"/>
      <c r="B168" s="1032"/>
      <c r="C168" s="1033"/>
      <c r="D168" s="1032"/>
      <c r="E168" s="1034"/>
      <c r="F168" s="1034"/>
    </row>
    <row r="169" spans="1:6" s="1035" customFormat="1" ht="18" customHeight="1">
      <c r="A169" s="1032"/>
      <c r="B169" s="1032"/>
      <c r="C169" s="1033"/>
      <c r="D169" s="1032"/>
      <c r="E169" s="1034"/>
      <c r="F169" s="1034"/>
    </row>
    <row r="170" spans="1:6" s="1035" customFormat="1" ht="18" customHeight="1">
      <c r="A170" s="1032"/>
      <c r="B170" s="1032"/>
      <c r="C170" s="1033"/>
      <c r="D170" s="1032"/>
      <c r="E170" s="1034"/>
      <c r="F170" s="1034"/>
    </row>
    <row r="171" spans="1:6" s="1035" customFormat="1" ht="18" customHeight="1">
      <c r="A171" s="1032"/>
      <c r="B171" s="1032"/>
      <c r="C171" s="1033"/>
      <c r="D171" s="1032"/>
      <c r="E171" s="1034"/>
      <c r="F171" s="1034"/>
    </row>
    <row r="172" spans="1:6" s="1035" customFormat="1" ht="18" customHeight="1">
      <c r="A172" s="1032"/>
      <c r="B172" s="1032"/>
      <c r="C172" s="1033"/>
      <c r="D172" s="1032"/>
      <c r="E172" s="1034"/>
      <c r="F172" s="1034"/>
    </row>
    <row r="173" spans="1:6" s="1035" customFormat="1" ht="18" customHeight="1">
      <c r="A173" s="1032"/>
      <c r="B173" s="1032"/>
      <c r="C173" s="1033"/>
      <c r="D173" s="1032"/>
      <c r="E173" s="1034"/>
      <c r="F173" s="1034"/>
    </row>
    <row r="174" spans="1:6" s="1035" customFormat="1" ht="18" customHeight="1">
      <c r="A174" s="1032"/>
      <c r="B174" s="1032"/>
      <c r="C174" s="1033"/>
      <c r="D174" s="1032"/>
      <c r="E174" s="1034"/>
      <c r="F174" s="1034"/>
    </row>
    <row r="175" spans="1:6" s="1035" customFormat="1" ht="18" customHeight="1">
      <c r="A175" s="1032"/>
      <c r="B175" s="1032"/>
      <c r="C175" s="1033"/>
      <c r="D175" s="1032"/>
      <c r="E175" s="1034"/>
      <c r="F175" s="1034"/>
    </row>
    <row r="176" spans="1:6" s="1035" customFormat="1" ht="18" customHeight="1">
      <c r="A176" s="1032"/>
      <c r="B176" s="1032"/>
      <c r="C176" s="1033"/>
      <c r="D176" s="1032"/>
      <c r="E176" s="1034"/>
      <c r="F176" s="1034"/>
    </row>
    <row r="177" spans="1:6" s="1035" customFormat="1" ht="18" customHeight="1">
      <c r="A177" s="1032"/>
      <c r="B177" s="1032"/>
      <c r="C177" s="1033"/>
      <c r="D177" s="1032"/>
      <c r="E177" s="1034"/>
      <c r="F177" s="1034"/>
    </row>
    <row r="178" spans="1:6" s="1035" customFormat="1" ht="18" customHeight="1">
      <c r="A178" s="1032"/>
      <c r="B178" s="1032"/>
      <c r="C178" s="1033"/>
      <c r="D178" s="1032"/>
      <c r="E178" s="1034"/>
      <c r="F178" s="1034"/>
    </row>
    <row r="179" spans="1:6" s="1035" customFormat="1" ht="18" customHeight="1">
      <c r="A179" s="1032"/>
      <c r="B179" s="1032"/>
      <c r="C179" s="1033"/>
      <c r="D179" s="1032"/>
      <c r="E179" s="1034"/>
      <c r="F179" s="1034"/>
    </row>
    <row r="180" spans="1:6" s="1035" customFormat="1" ht="18" customHeight="1">
      <c r="A180" s="1032"/>
      <c r="B180" s="1032"/>
      <c r="C180" s="1033"/>
      <c r="D180" s="1032"/>
      <c r="E180" s="1034"/>
      <c r="F180" s="1034"/>
    </row>
    <row r="181" spans="1:6" s="1035" customFormat="1" ht="18" customHeight="1">
      <c r="A181" s="1032"/>
      <c r="B181" s="1032"/>
      <c r="C181" s="1033"/>
      <c r="D181" s="1032"/>
      <c r="E181" s="1034"/>
      <c r="F181" s="1034"/>
    </row>
    <row r="182" spans="1:6" s="1035" customFormat="1" ht="18" customHeight="1">
      <c r="A182" s="1032"/>
      <c r="B182" s="1032"/>
      <c r="C182" s="1033"/>
      <c r="D182" s="1032"/>
      <c r="E182" s="1034"/>
      <c r="F182" s="1034"/>
    </row>
    <row r="183" spans="1:6" s="1035" customFormat="1" ht="18" customHeight="1">
      <c r="A183" s="1032"/>
      <c r="B183" s="1032"/>
      <c r="C183" s="1033"/>
      <c r="D183" s="1032"/>
      <c r="E183" s="1034"/>
      <c r="F183" s="1034"/>
    </row>
    <row r="184" spans="1:6" s="1035" customFormat="1" ht="18" customHeight="1">
      <c r="A184" s="1032"/>
      <c r="B184" s="1032"/>
      <c r="C184" s="1033"/>
      <c r="D184" s="1032"/>
      <c r="E184" s="1034"/>
      <c r="F184" s="1034"/>
    </row>
    <row r="185" spans="1:6" s="1035" customFormat="1" ht="18" customHeight="1">
      <c r="A185" s="1032"/>
      <c r="B185" s="1032"/>
      <c r="C185" s="1033"/>
      <c r="D185" s="1032"/>
      <c r="E185" s="1034"/>
      <c r="F185" s="1034"/>
    </row>
    <row r="186" spans="1:6" s="1035" customFormat="1" ht="18" customHeight="1">
      <c r="A186" s="1032"/>
      <c r="B186" s="1032"/>
      <c r="C186" s="1033"/>
      <c r="D186" s="1032"/>
      <c r="E186" s="1034"/>
      <c r="F186" s="1034"/>
    </row>
    <row r="187" spans="1:6" s="1035" customFormat="1" ht="18" customHeight="1">
      <c r="A187" s="1032"/>
      <c r="B187" s="1032"/>
      <c r="C187" s="1033"/>
      <c r="D187" s="1032"/>
      <c r="E187" s="1034"/>
      <c r="F187" s="1034"/>
    </row>
    <row r="188" spans="1:6" s="1035" customFormat="1" ht="18" customHeight="1">
      <c r="A188" s="1032"/>
      <c r="B188" s="1032"/>
      <c r="C188" s="1033"/>
      <c r="D188" s="1032"/>
      <c r="E188" s="1034"/>
      <c r="F188" s="1034"/>
    </row>
    <row r="189" spans="1:6" s="1035" customFormat="1" ht="18" customHeight="1">
      <c r="A189" s="1032"/>
      <c r="B189" s="1032"/>
      <c r="C189" s="1033"/>
      <c r="D189" s="1032"/>
      <c r="E189" s="1034"/>
      <c r="F189" s="1034"/>
    </row>
    <row r="190" spans="1:6" s="1035" customFormat="1" ht="18" customHeight="1">
      <c r="A190" s="1032"/>
      <c r="B190" s="1032"/>
      <c r="C190" s="1033"/>
      <c r="D190" s="1032"/>
      <c r="E190" s="1034"/>
      <c r="F190" s="1034"/>
    </row>
    <row r="191" spans="1:6" s="1035" customFormat="1" ht="18" customHeight="1">
      <c r="A191" s="1032"/>
      <c r="B191" s="1032"/>
      <c r="C191" s="1033"/>
      <c r="D191" s="1032"/>
      <c r="E191" s="1034"/>
      <c r="F191" s="1034"/>
    </row>
    <row r="192" spans="1:6" s="1035" customFormat="1" ht="18" customHeight="1">
      <c r="A192" s="1032"/>
      <c r="B192" s="1032"/>
      <c r="C192" s="1033"/>
      <c r="D192" s="1032"/>
      <c r="E192" s="1034"/>
      <c r="F192" s="1034"/>
    </row>
    <row r="193" spans="1:6" s="1035" customFormat="1" ht="18" customHeight="1">
      <c r="A193" s="1032"/>
      <c r="B193" s="1032"/>
      <c r="C193" s="1033"/>
      <c r="D193" s="1032"/>
      <c r="E193" s="1034"/>
      <c r="F193" s="1034"/>
    </row>
    <row r="194" spans="1:6" s="1035" customFormat="1" ht="18" customHeight="1">
      <c r="A194" s="1032"/>
      <c r="B194" s="1032"/>
      <c r="C194" s="1033"/>
      <c r="D194" s="1032"/>
      <c r="E194" s="1034"/>
      <c r="F194" s="1034"/>
    </row>
    <row r="195" spans="1:6" s="1035" customFormat="1" ht="18" customHeight="1">
      <c r="A195" s="1032"/>
      <c r="B195" s="1032"/>
      <c r="C195" s="1033"/>
      <c r="D195" s="1032"/>
      <c r="E195" s="1034"/>
      <c r="F195" s="1034"/>
    </row>
    <row r="196" spans="1:6" s="1035" customFormat="1" ht="18" customHeight="1">
      <c r="A196" s="1032"/>
      <c r="B196" s="1032"/>
      <c r="C196" s="1033"/>
      <c r="D196" s="1032"/>
      <c r="E196" s="1034"/>
      <c r="F196" s="1034"/>
    </row>
    <row r="197" spans="1:6" s="1035" customFormat="1" ht="18" customHeight="1">
      <c r="A197" s="1032"/>
      <c r="B197" s="1032"/>
      <c r="C197" s="1033"/>
      <c r="D197" s="1032"/>
      <c r="E197" s="1034"/>
      <c r="F197" s="1034"/>
    </row>
    <row r="198" spans="1:6" s="1035" customFormat="1" ht="18" customHeight="1">
      <c r="A198" s="1032"/>
      <c r="B198" s="1032"/>
      <c r="C198" s="1033"/>
      <c r="D198" s="1032"/>
      <c r="E198" s="1034"/>
      <c r="F198" s="1034"/>
    </row>
    <row r="199" spans="1:6" s="1035" customFormat="1" ht="18" customHeight="1">
      <c r="A199" s="1032"/>
      <c r="B199" s="1032"/>
      <c r="C199" s="1033"/>
      <c r="D199" s="1032"/>
      <c r="E199" s="1034"/>
      <c r="F199" s="1034"/>
    </row>
    <row r="200" spans="1:6" s="1035" customFormat="1" ht="18" customHeight="1">
      <c r="A200" s="1032"/>
      <c r="B200" s="1032"/>
      <c r="C200" s="1033"/>
      <c r="D200" s="1032"/>
      <c r="E200" s="1034"/>
      <c r="F200" s="1034"/>
    </row>
    <row r="201" spans="1:6" s="1035" customFormat="1" ht="18" customHeight="1">
      <c r="A201" s="1032"/>
      <c r="B201" s="1032"/>
      <c r="C201" s="1033"/>
      <c r="D201" s="1032"/>
      <c r="E201" s="1034"/>
      <c r="F201" s="1034"/>
    </row>
    <row r="202" spans="1:6" s="1035" customFormat="1" ht="18" customHeight="1">
      <c r="A202" s="1032"/>
      <c r="B202" s="1032"/>
      <c r="C202" s="1033"/>
      <c r="D202" s="1032"/>
      <c r="E202" s="1034"/>
      <c r="F202" s="1034"/>
    </row>
    <row r="203" spans="1:6" s="1035" customFormat="1" ht="18" customHeight="1">
      <c r="A203" s="1032"/>
      <c r="B203" s="1032"/>
      <c r="C203" s="1033"/>
      <c r="D203" s="1032"/>
      <c r="E203" s="1034"/>
      <c r="F203" s="1034"/>
    </row>
    <row r="204" spans="1:6" s="1035" customFormat="1" ht="18" customHeight="1">
      <c r="A204" s="1032"/>
      <c r="B204" s="1032"/>
      <c r="C204" s="1033"/>
      <c r="D204" s="1032"/>
      <c r="E204" s="1034"/>
      <c r="F204" s="1034"/>
    </row>
    <row r="205" spans="1:6" ht="18" customHeight="1">
      <c r="A205" s="1032"/>
    </row>
    <row r="206" spans="1:6" ht="18" customHeight="1"/>
    <row r="207" spans="1:6" ht="18" customHeight="1"/>
    <row r="208" spans="1:6" ht="18" customHeight="1"/>
    <row r="209" spans="1:6" ht="18" customHeight="1"/>
    <row r="210" spans="1:6" ht="18" customHeight="1"/>
    <row r="211" spans="1:6" ht="18" customHeight="1"/>
    <row r="212" spans="1:6" ht="18" customHeight="1"/>
    <row r="213" spans="1:6" ht="18" customHeight="1"/>
    <row r="214" spans="1:6" ht="18" customHeight="1">
      <c r="B214" s="1132"/>
      <c r="D214" s="1132"/>
      <c r="E214" s="1135"/>
      <c r="F214" s="1135"/>
    </row>
    <row r="215" spans="1:6" ht="18" customHeight="1">
      <c r="A215" s="1132"/>
      <c r="B215" s="1132"/>
      <c r="D215" s="1132"/>
      <c r="E215" s="1135"/>
      <c r="F215" s="1135"/>
    </row>
    <row r="216" spans="1:6" ht="18" customHeight="1">
      <c r="A216" s="1132"/>
      <c r="B216" s="1132"/>
      <c r="D216" s="1132"/>
      <c r="E216" s="1135"/>
      <c r="F216" s="1135"/>
    </row>
    <row r="217" spans="1:6" ht="18" customHeight="1">
      <c r="A217" s="1132"/>
      <c r="B217" s="1132"/>
      <c r="D217" s="1132"/>
      <c r="E217" s="1135"/>
      <c r="F217" s="1135"/>
    </row>
    <row r="218" spans="1:6" ht="18" customHeight="1">
      <c r="A218" s="1132"/>
      <c r="B218" s="1132"/>
      <c r="D218" s="1132"/>
      <c r="E218" s="1135"/>
      <c r="F218" s="1135"/>
    </row>
    <row r="219" spans="1:6" ht="18" customHeight="1">
      <c r="A219" s="1132"/>
      <c r="B219" s="1132"/>
      <c r="D219" s="1132"/>
      <c r="E219" s="1135"/>
      <c r="F219" s="1135"/>
    </row>
    <row r="220" spans="1:6" ht="18" customHeight="1">
      <c r="A220" s="1132"/>
      <c r="B220" s="1132"/>
      <c r="D220" s="1132"/>
      <c r="E220" s="1135"/>
      <c r="F220" s="1135"/>
    </row>
    <row r="221" spans="1:6" ht="18" customHeight="1">
      <c r="A221" s="1132"/>
      <c r="B221" s="1132"/>
      <c r="D221" s="1132"/>
      <c r="E221" s="1135"/>
      <c r="F221" s="1135"/>
    </row>
    <row r="222" spans="1:6" ht="18" customHeight="1">
      <c r="A222" s="1132"/>
      <c r="B222" s="1132"/>
      <c r="D222" s="1132"/>
      <c r="E222" s="1135"/>
      <c r="F222" s="1135"/>
    </row>
    <row r="223" spans="1:6" ht="18" customHeight="1">
      <c r="A223" s="1132"/>
      <c r="B223" s="1132"/>
      <c r="D223" s="1132"/>
      <c r="E223" s="1135"/>
      <c r="F223" s="1135"/>
    </row>
    <row r="224" spans="1:6" ht="18" customHeight="1">
      <c r="A224" s="1132"/>
      <c r="B224" s="1132"/>
      <c r="D224" s="1132"/>
      <c r="E224" s="1135"/>
      <c r="F224" s="1135"/>
    </row>
    <row r="225" spans="1:6" ht="18" customHeight="1">
      <c r="A225" s="1132"/>
      <c r="B225" s="1132"/>
      <c r="D225" s="1132"/>
      <c r="E225" s="1135"/>
      <c r="F225" s="1135"/>
    </row>
    <row r="226" spans="1:6" ht="18" customHeight="1">
      <c r="A226" s="1132"/>
      <c r="B226" s="1132"/>
      <c r="D226" s="1132"/>
      <c r="E226" s="1135"/>
      <c r="F226" s="1135"/>
    </row>
    <row r="227" spans="1:6" ht="18" customHeight="1">
      <c r="A227" s="1132"/>
      <c r="B227" s="1132"/>
      <c r="D227" s="1132"/>
      <c r="E227" s="1135"/>
      <c r="F227" s="1135"/>
    </row>
    <row r="228" spans="1:6" ht="18" customHeight="1">
      <c r="A228" s="1132"/>
      <c r="B228" s="1132"/>
      <c r="D228" s="1132"/>
      <c r="E228" s="1135"/>
      <c r="F228" s="1135"/>
    </row>
    <row r="229" spans="1:6" ht="18" customHeight="1">
      <c r="A229" s="1132"/>
      <c r="B229" s="1132"/>
      <c r="D229" s="1132"/>
      <c r="E229" s="1135"/>
      <c r="F229" s="1135"/>
    </row>
    <row r="230" spans="1:6" ht="18" customHeight="1">
      <c r="A230" s="1132"/>
      <c r="B230" s="1132"/>
      <c r="D230" s="1132"/>
      <c r="E230" s="1135"/>
      <c r="F230" s="1135"/>
    </row>
    <row r="231" spans="1:6" ht="18" customHeight="1">
      <c r="A231" s="1132"/>
      <c r="B231" s="1132"/>
      <c r="D231" s="1132"/>
      <c r="E231" s="1135"/>
      <c r="F231" s="1135"/>
    </row>
    <row r="232" spans="1:6" ht="18" customHeight="1">
      <c r="A232" s="1132"/>
      <c r="B232" s="1132"/>
      <c r="D232" s="1132"/>
      <c r="E232" s="1135"/>
      <c r="F232" s="1135"/>
    </row>
    <row r="233" spans="1:6" ht="18" customHeight="1">
      <c r="A233" s="1132"/>
      <c r="B233" s="1132"/>
      <c r="D233" s="1132"/>
      <c r="E233" s="1135"/>
      <c r="F233" s="1135"/>
    </row>
    <row r="234" spans="1:6" ht="18" customHeight="1">
      <c r="A234" s="1132"/>
      <c r="B234" s="1132"/>
      <c r="D234" s="1132"/>
      <c r="E234" s="1135"/>
      <c r="F234" s="1135"/>
    </row>
    <row r="235" spans="1:6" ht="18" customHeight="1">
      <c r="A235" s="1132"/>
      <c r="B235" s="1132"/>
      <c r="D235" s="1132"/>
      <c r="E235" s="1135"/>
      <c r="F235" s="1135"/>
    </row>
    <row r="236" spans="1:6" ht="18" customHeight="1">
      <c r="A236" s="1132"/>
      <c r="B236" s="1132"/>
      <c r="D236" s="1132"/>
      <c r="E236" s="1135"/>
      <c r="F236" s="1135"/>
    </row>
    <row r="237" spans="1:6" ht="18" customHeight="1">
      <c r="A237" s="1132"/>
      <c r="B237" s="1132"/>
      <c r="D237" s="1132"/>
      <c r="E237" s="1135"/>
      <c r="F237" s="1135"/>
    </row>
    <row r="238" spans="1:6" ht="18" customHeight="1">
      <c r="A238" s="1132"/>
      <c r="B238" s="1132"/>
      <c r="D238" s="1132"/>
      <c r="E238" s="1135"/>
      <c r="F238" s="1135"/>
    </row>
    <row r="239" spans="1:6" ht="18" customHeight="1">
      <c r="A239" s="1132"/>
      <c r="B239" s="1132"/>
      <c r="D239" s="1132"/>
      <c r="E239" s="1135"/>
      <c r="F239" s="1135"/>
    </row>
    <row r="240" spans="1:6" ht="18" customHeight="1">
      <c r="A240" s="1132"/>
      <c r="B240" s="1132"/>
      <c r="D240" s="1132"/>
      <c r="E240" s="1135"/>
      <c r="F240" s="1135"/>
    </row>
    <row r="241" spans="1:6" ht="18" customHeight="1">
      <c r="A241" s="1132"/>
      <c r="B241" s="1132"/>
      <c r="D241" s="1132"/>
      <c r="E241" s="1135"/>
      <c r="F241" s="1135"/>
    </row>
    <row r="242" spans="1:6" ht="18" customHeight="1">
      <c r="A242" s="1132"/>
      <c r="B242" s="1132"/>
      <c r="D242" s="1132"/>
      <c r="E242" s="1135"/>
      <c r="F242" s="1135"/>
    </row>
    <row r="243" spans="1:6" ht="18" customHeight="1">
      <c r="A243" s="1132"/>
      <c r="B243" s="1132"/>
      <c r="D243" s="1132"/>
      <c r="E243" s="1135"/>
      <c r="F243" s="1135"/>
    </row>
    <row r="244" spans="1:6" ht="18" customHeight="1">
      <c r="A244" s="1132"/>
      <c r="B244" s="1132"/>
      <c r="D244" s="1132"/>
      <c r="E244" s="1135"/>
      <c r="F244" s="1135"/>
    </row>
    <row r="245" spans="1:6" ht="18" customHeight="1">
      <c r="A245" s="1132"/>
      <c r="B245" s="1132"/>
      <c r="D245" s="1132"/>
      <c r="E245" s="1135"/>
      <c r="F245" s="1135"/>
    </row>
    <row r="246" spans="1:6" ht="18" customHeight="1">
      <c r="A246" s="1132"/>
      <c r="B246" s="1132"/>
      <c r="D246" s="1132"/>
      <c r="E246" s="1135"/>
      <c r="F246" s="1135"/>
    </row>
    <row r="247" spans="1:6" ht="18" customHeight="1">
      <c r="A247" s="1132"/>
      <c r="B247" s="1132"/>
      <c r="D247" s="1132"/>
      <c r="E247" s="1135"/>
      <c r="F247" s="1135"/>
    </row>
    <row r="248" spans="1:6" ht="18" customHeight="1">
      <c r="A248" s="1132"/>
      <c r="B248" s="1132"/>
      <c r="D248" s="1132"/>
      <c r="E248" s="1135"/>
      <c r="F248" s="1135"/>
    </row>
    <row r="249" spans="1:6" ht="18" customHeight="1">
      <c r="A249" s="1132"/>
      <c r="B249" s="1132"/>
      <c r="D249" s="1132"/>
      <c r="E249" s="1135"/>
      <c r="F249" s="1135"/>
    </row>
    <row r="250" spans="1:6" ht="18" customHeight="1">
      <c r="A250" s="1132"/>
      <c r="B250" s="1132"/>
      <c r="D250" s="1132"/>
      <c r="E250" s="1135"/>
      <c r="F250" s="1135"/>
    </row>
    <row r="251" spans="1:6" ht="18" customHeight="1">
      <c r="A251" s="1132"/>
      <c r="B251" s="1132"/>
      <c r="D251" s="1132"/>
      <c r="E251" s="1135"/>
      <c r="F251" s="1135"/>
    </row>
    <row r="252" spans="1:6" ht="18" customHeight="1">
      <c r="A252" s="1132"/>
      <c r="B252" s="1132"/>
      <c r="D252" s="1132"/>
      <c r="E252" s="1135"/>
      <c r="F252" s="1135"/>
    </row>
    <row r="253" spans="1:6" ht="18" customHeight="1">
      <c r="A253" s="1132"/>
      <c r="B253" s="1132"/>
      <c r="D253" s="1132"/>
      <c r="E253" s="1135"/>
      <c r="F253" s="1135"/>
    </row>
    <row r="254" spans="1:6" ht="18" customHeight="1">
      <c r="A254" s="1132"/>
      <c r="B254" s="1132"/>
      <c r="D254" s="1132"/>
      <c r="E254" s="1135"/>
      <c r="F254" s="1135"/>
    </row>
    <row r="255" spans="1:6" ht="18" customHeight="1">
      <c r="A255" s="1132"/>
      <c r="B255" s="1132"/>
      <c r="D255" s="1132"/>
      <c r="E255" s="1135"/>
      <c r="F255" s="1135"/>
    </row>
    <row r="256" spans="1:6" ht="18" customHeight="1">
      <c r="A256" s="1132"/>
      <c r="B256" s="1132"/>
      <c r="D256" s="1132"/>
      <c r="E256" s="1135"/>
      <c r="F256" s="1135"/>
    </row>
    <row r="257" spans="1:6" ht="18" customHeight="1">
      <c r="A257" s="1132"/>
      <c r="B257" s="1132"/>
      <c r="D257" s="1132"/>
      <c r="E257" s="1135"/>
      <c r="F257" s="1135"/>
    </row>
    <row r="258" spans="1:6" ht="18" customHeight="1">
      <c r="A258" s="1132"/>
      <c r="B258" s="1132"/>
      <c r="D258" s="1132"/>
      <c r="E258" s="1135"/>
      <c r="F258" s="1135"/>
    </row>
    <row r="259" spans="1:6" ht="18" customHeight="1">
      <c r="A259" s="1132"/>
      <c r="B259" s="1132"/>
      <c r="D259" s="1132"/>
      <c r="E259" s="1135"/>
      <c r="F259" s="1135"/>
    </row>
    <row r="260" spans="1:6" ht="18" customHeight="1">
      <c r="A260" s="1132"/>
      <c r="B260" s="1132"/>
      <c r="D260" s="1132"/>
      <c r="E260" s="1135"/>
      <c r="F260" s="1135"/>
    </row>
    <row r="261" spans="1:6" ht="18" customHeight="1">
      <c r="A261" s="1132"/>
      <c r="B261" s="1132"/>
      <c r="D261" s="1132"/>
      <c r="E261" s="1135"/>
      <c r="F261" s="1135"/>
    </row>
    <row r="262" spans="1:6" ht="18" customHeight="1">
      <c r="A262" s="1132"/>
      <c r="B262" s="1132"/>
      <c r="D262" s="1132"/>
      <c r="E262" s="1135"/>
      <c r="F262" s="1135"/>
    </row>
    <row r="263" spans="1:6" ht="18" customHeight="1">
      <c r="A263" s="1132"/>
      <c r="B263" s="1132"/>
      <c r="D263" s="1132"/>
      <c r="E263" s="1135"/>
      <c r="F263" s="1135"/>
    </row>
    <row r="264" spans="1:6" ht="18" customHeight="1">
      <c r="A264" s="1132"/>
      <c r="B264" s="1132"/>
      <c r="D264" s="1132"/>
      <c r="E264" s="1135"/>
      <c r="F264" s="1135"/>
    </row>
    <row r="265" spans="1:6" ht="18" customHeight="1">
      <c r="A265" s="1132"/>
      <c r="B265" s="1132"/>
      <c r="D265" s="1132"/>
      <c r="E265" s="1135"/>
      <c r="F265" s="1135"/>
    </row>
    <row r="266" spans="1:6" ht="18" customHeight="1">
      <c r="A266" s="1132"/>
      <c r="B266" s="1132"/>
      <c r="D266" s="1132"/>
      <c r="E266" s="1135"/>
      <c r="F266" s="1135"/>
    </row>
    <row r="267" spans="1:6" ht="18" customHeight="1">
      <c r="A267" s="1132"/>
      <c r="B267" s="1132"/>
      <c r="D267" s="1132"/>
      <c r="E267" s="1135"/>
      <c r="F267" s="1135"/>
    </row>
    <row r="268" spans="1:6" ht="18" customHeight="1">
      <c r="A268" s="1132"/>
      <c r="B268" s="1132"/>
      <c r="D268" s="1132"/>
      <c r="E268" s="1135"/>
      <c r="F268" s="1135"/>
    </row>
    <row r="269" spans="1:6" ht="18" customHeight="1">
      <c r="A269" s="1132"/>
      <c r="B269" s="1132"/>
      <c r="D269" s="1132"/>
      <c r="E269" s="1135"/>
      <c r="F269" s="1135"/>
    </row>
    <row r="270" spans="1:6" ht="18" customHeight="1">
      <c r="A270" s="1132"/>
      <c r="B270" s="1132"/>
      <c r="D270" s="1132"/>
      <c r="E270" s="1135"/>
      <c r="F270" s="1135"/>
    </row>
    <row r="271" spans="1:6" ht="18" customHeight="1">
      <c r="A271" s="1132"/>
      <c r="B271" s="1132"/>
      <c r="D271" s="1132"/>
      <c r="E271" s="1135"/>
      <c r="F271" s="1135"/>
    </row>
    <row r="272" spans="1:6" ht="18" customHeight="1">
      <c r="A272" s="1132"/>
      <c r="B272" s="1132"/>
      <c r="D272" s="1132"/>
      <c r="E272" s="1135"/>
      <c r="F272" s="1135"/>
    </row>
    <row r="273" spans="1:6" ht="18" customHeight="1">
      <c r="A273" s="1132"/>
      <c r="B273" s="1132"/>
      <c r="D273" s="1132"/>
      <c r="E273" s="1135"/>
      <c r="F273" s="1135"/>
    </row>
    <row r="274" spans="1:6" ht="18" customHeight="1">
      <c r="A274" s="1132"/>
      <c r="B274" s="1132"/>
      <c r="D274" s="1132"/>
      <c r="E274" s="1135"/>
      <c r="F274" s="1135"/>
    </row>
    <row r="275" spans="1:6" ht="18" customHeight="1">
      <c r="A275" s="1132"/>
      <c r="B275" s="1132"/>
      <c r="D275" s="1132"/>
      <c r="E275" s="1135"/>
      <c r="F275" s="1135"/>
    </row>
    <row r="276" spans="1:6" ht="18" customHeight="1">
      <c r="A276" s="1132"/>
      <c r="B276" s="1132"/>
      <c r="D276" s="1132"/>
      <c r="E276" s="1135"/>
      <c r="F276" s="1135"/>
    </row>
    <row r="277" spans="1:6" ht="18" customHeight="1">
      <c r="A277" s="1132"/>
      <c r="B277" s="1132"/>
      <c r="D277" s="1132"/>
      <c r="E277" s="1135"/>
      <c r="F277" s="1135"/>
    </row>
    <row r="278" spans="1:6" ht="18" customHeight="1">
      <c r="A278" s="1132"/>
      <c r="B278" s="1132"/>
      <c r="D278" s="1132"/>
      <c r="E278" s="1135"/>
      <c r="F278" s="1135"/>
    </row>
    <row r="279" spans="1:6" ht="18" customHeight="1">
      <c r="A279" s="1132"/>
      <c r="B279" s="1132"/>
      <c r="D279" s="1132"/>
      <c r="E279" s="1135"/>
      <c r="F279" s="1135"/>
    </row>
    <row r="280" spans="1:6" ht="18" customHeight="1">
      <c r="A280" s="1132"/>
      <c r="B280" s="1132"/>
      <c r="D280" s="1132"/>
      <c r="E280" s="1135"/>
      <c r="F280" s="1135"/>
    </row>
    <row r="281" spans="1:6" ht="18" customHeight="1">
      <c r="A281" s="1132"/>
      <c r="B281" s="1132"/>
      <c r="D281" s="1132"/>
      <c r="E281" s="1135"/>
      <c r="F281" s="1135"/>
    </row>
    <row r="282" spans="1:6" ht="18" customHeight="1">
      <c r="A282" s="1132"/>
      <c r="B282" s="1132"/>
      <c r="D282" s="1132"/>
      <c r="E282" s="1135"/>
      <c r="F282" s="1135"/>
    </row>
    <row r="283" spans="1:6" ht="18" customHeight="1">
      <c r="A283" s="1132"/>
      <c r="B283" s="1132"/>
      <c r="D283" s="1132"/>
      <c r="E283" s="1135"/>
      <c r="F283" s="1135"/>
    </row>
    <row r="284" spans="1:6" ht="18" customHeight="1">
      <c r="A284" s="1132"/>
      <c r="B284" s="1132"/>
      <c r="D284" s="1132"/>
      <c r="E284" s="1135"/>
      <c r="F284" s="1135"/>
    </row>
    <row r="285" spans="1:6" ht="18" customHeight="1">
      <c r="A285" s="1132"/>
      <c r="B285" s="1132"/>
      <c r="D285" s="1132"/>
      <c r="E285" s="1135"/>
      <c r="F285" s="1135"/>
    </row>
    <row r="286" spans="1:6" ht="18" customHeight="1">
      <c r="A286" s="1132"/>
      <c r="B286" s="1132"/>
      <c r="D286" s="1132"/>
      <c r="E286" s="1135"/>
      <c r="F286" s="1135"/>
    </row>
    <row r="287" spans="1:6" ht="18" customHeight="1">
      <c r="A287" s="1132"/>
      <c r="B287" s="1132"/>
      <c r="D287" s="1132"/>
      <c r="E287" s="1135"/>
      <c r="F287" s="1135"/>
    </row>
    <row r="288" spans="1:6" ht="18" customHeight="1">
      <c r="A288" s="1132"/>
      <c r="B288" s="1132"/>
      <c r="D288" s="1132"/>
      <c r="E288" s="1135"/>
      <c r="F288" s="1135"/>
    </row>
    <row r="289" spans="1:6" ht="18" customHeight="1">
      <c r="A289" s="1132"/>
      <c r="B289" s="1132"/>
      <c r="D289" s="1132"/>
      <c r="E289" s="1135"/>
      <c r="F289" s="1135"/>
    </row>
    <row r="290" spans="1:6" ht="18" customHeight="1">
      <c r="A290" s="1132"/>
      <c r="B290" s="1132"/>
      <c r="D290" s="1132"/>
      <c r="E290" s="1135"/>
      <c r="F290" s="1135"/>
    </row>
    <row r="291" spans="1:6" ht="18" customHeight="1">
      <c r="A291" s="1132"/>
      <c r="B291" s="1132"/>
      <c r="D291" s="1132"/>
      <c r="E291" s="1135"/>
      <c r="F291" s="1135"/>
    </row>
    <row r="292" spans="1:6" ht="18" customHeight="1">
      <c r="A292" s="1132"/>
      <c r="B292" s="1132"/>
      <c r="D292" s="1132"/>
      <c r="E292" s="1135"/>
      <c r="F292" s="1135"/>
    </row>
    <row r="293" spans="1:6" ht="18" customHeight="1">
      <c r="A293" s="1132"/>
      <c r="B293" s="1132"/>
      <c r="D293" s="1132"/>
      <c r="E293" s="1135"/>
      <c r="F293" s="1135"/>
    </row>
    <row r="294" spans="1:6" ht="18" customHeight="1">
      <c r="A294" s="1132"/>
      <c r="B294" s="1132"/>
      <c r="D294" s="1132"/>
      <c r="E294" s="1135"/>
      <c r="F294" s="1135"/>
    </row>
    <row r="295" spans="1:6" ht="18" customHeight="1">
      <c r="A295" s="1132"/>
      <c r="B295" s="1132"/>
      <c r="D295" s="1132"/>
      <c r="E295" s="1135"/>
      <c r="F295" s="1135"/>
    </row>
    <row r="296" spans="1:6" ht="18" customHeight="1">
      <c r="A296" s="1132"/>
      <c r="B296" s="1132"/>
      <c r="D296" s="1132"/>
      <c r="E296" s="1135"/>
      <c r="F296" s="1135"/>
    </row>
    <row r="297" spans="1:6" ht="18" customHeight="1">
      <c r="A297" s="1132"/>
      <c r="B297" s="1132"/>
      <c r="D297" s="1132"/>
      <c r="E297" s="1135"/>
      <c r="F297" s="1135"/>
    </row>
    <row r="298" spans="1:6" ht="18" customHeight="1">
      <c r="A298" s="1132"/>
      <c r="B298" s="1132"/>
      <c r="D298" s="1132"/>
      <c r="E298" s="1135"/>
      <c r="F298" s="1135"/>
    </row>
    <row r="299" spans="1:6" ht="18" customHeight="1">
      <c r="A299" s="1132"/>
      <c r="B299" s="1132"/>
      <c r="D299" s="1132"/>
      <c r="E299" s="1135"/>
      <c r="F299" s="1135"/>
    </row>
    <row r="300" spans="1:6" ht="18" customHeight="1">
      <c r="A300" s="1132"/>
      <c r="B300" s="1132"/>
      <c r="D300" s="1132"/>
      <c r="E300" s="1135"/>
      <c r="F300" s="1135"/>
    </row>
    <row r="301" spans="1:6" ht="18" customHeight="1">
      <c r="A301" s="1132"/>
      <c r="B301" s="1132"/>
      <c r="D301" s="1132"/>
      <c r="E301" s="1135"/>
      <c r="F301" s="1135"/>
    </row>
    <row r="302" spans="1:6" ht="18" customHeight="1">
      <c r="A302" s="1132"/>
      <c r="B302" s="1132"/>
      <c r="D302" s="1132"/>
      <c r="E302" s="1135"/>
      <c r="F302" s="1135"/>
    </row>
    <row r="303" spans="1:6" ht="18" customHeight="1">
      <c r="A303" s="1132"/>
      <c r="B303" s="1132"/>
      <c r="D303" s="1132"/>
      <c r="E303" s="1135"/>
      <c r="F303" s="1135"/>
    </row>
    <row r="304" spans="1:6" ht="18" customHeight="1">
      <c r="A304" s="1132"/>
      <c r="B304" s="1132"/>
      <c r="D304" s="1132"/>
      <c r="E304" s="1135"/>
      <c r="F304" s="1135"/>
    </row>
    <row r="305" spans="1:6" ht="18" customHeight="1">
      <c r="A305" s="1132"/>
      <c r="B305" s="1132"/>
      <c r="D305" s="1132"/>
      <c r="E305" s="1135"/>
      <c r="F305" s="1135"/>
    </row>
    <row r="306" spans="1:6" ht="18" customHeight="1">
      <c r="A306" s="1132"/>
      <c r="B306" s="1132"/>
      <c r="D306" s="1132"/>
      <c r="E306" s="1135"/>
      <c r="F306" s="1135"/>
    </row>
    <row r="307" spans="1:6" ht="18" customHeight="1">
      <c r="A307" s="1132"/>
      <c r="B307" s="1132"/>
      <c r="D307" s="1132"/>
      <c r="E307" s="1135"/>
      <c r="F307" s="1135"/>
    </row>
    <row r="308" spans="1:6" ht="18" customHeight="1">
      <c r="A308" s="1132"/>
      <c r="B308" s="1132"/>
      <c r="D308" s="1132"/>
      <c r="E308" s="1135"/>
      <c r="F308" s="1135"/>
    </row>
    <row r="309" spans="1:6" ht="18" customHeight="1">
      <c r="A309" s="1132"/>
      <c r="B309" s="1132"/>
      <c r="D309" s="1132"/>
      <c r="E309" s="1135"/>
      <c r="F309" s="1135"/>
    </row>
    <row r="310" spans="1:6" ht="18" customHeight="1">
      <c r="A310" s="1132"/>
      <c r="B310" s="1132"/>
      <c r="D310" s="1132"/>
      <c r="E310" s="1135"/>
      <c r="F310" s="1135"/>
    </row>
    <row r="311" spans="1:6" ht="18" customHeight="1">
      <c r="A311" s="1132"/>
      <c r="B311" s="1132"/>
      <c r="D311" s="1132"/>
      <c r="E311" s="1135"/>
      <c r="F311" s="1135"/>
    </row>
    <row r="312" spans="1:6" ht="18" customHeight="1">
      <c r="A312" s="1132"/>
      <c r="B312" s="1132"/>
      <c r="D312" s="1132"/>
      <c r="E312" s="1135"/>
      <c r="F312" s="1135"/>
    </row>
    <row r="313" spans="1:6" ht="18" customHeight="1">
      <c r="A313" s="1132"/>
      <c r="B313" s="1132"/>
      <c r="D313" s="1132"/>
      <c r="E313" s="1135"/>
      <c r="F313" s="1135"/>
    </row>
    <row r="314" spans="1:6" ht="18" customHeight="1">
      <c r="A314" s="1132"/>
      <c r="B314" s="1132"/>
      <c r="D314" s="1132"/>
      <c r="E314" s="1135"/>
      <c r="F314" s="1135"/>
    </row>
    <row r="315" spans="1:6" ht="18" customHeight="1">
      <c r="A315" s="1132"/>
      <c r="B315" s="1132"/>
      <c r="D315" s="1132"/>
      <c r="E315" s="1135"/>
      <c r="F315" s="1135"/>
    </row>
    <row r="316" spans="1:6" ht="18" customHeight="1">
      <c r="A316" s="1132"/>
      <c r="B316" s="1132"/>
      <c r="D316" s="1132"/>
      <c r="E316" s="1135"/>
      <c r="F316" s="1135"/>
    </row>
    <row r="317" spans="1:6" ht="18" customHeight="1">
      <c r="A317" s="1132"/>
      <c r="B317" s="1132"/>
      <c r="D317" s="1132"/>
      <c r="E317" s="1135"/>
      <c r="F317" s="1135"/>
    </row>
    <row r="318" spans="1:6" ht="18" customHeight="1">
      <c r="A318" s="1132"/>
      <c r="B318" s="1132"/>
      <c r="D318" s="1132"/>
      <c r="E318" s="1135"/>
      <c r="F318" s="1135"/>
    </row>
    <row r="319" spans="1:6" ht="18" customHeight="1">
      <c r="A319" s="1132"/>
      <c r="B319" s="1132"/>
      <c r="D319" s="1132"/>
      <c r="E319" s="1135"/>
      <c r="F319" s="1135"/>
    </row>
    <row r="320" spans="1:6" ht="18" customHeight="1">
      <c r="A320" s="1132"/>
      <c r="B320" s="1132"/>
      <c r="D320" s="1132"/>
      <c r="E320" s="1135"/>
      <c r="F320" s="1135"/>
    </row>
    <row r="321" spans="1:6" ht="18" customHeight="1">
      <c r="A321" s="1132"/>
      <c r="B321" s="1132"/>
      <c r="D321" s="1132"/>
      <c r="E321" s="1135"/>
      <c r="F321" s="1135"/>
    </row>
    <row r="322" spans="1:6" ht="18" customHeight="1">
      <c r="A322" s="1132"/>
      <c r="B322" s="1132"/>
      <c r="D322" s="1132"/>
      <c r="E322" s="1135"/>
      <c r="F322" s="1135"/>
    </row>
    <row r="323" spans="1:6" ht="18" customHeight="1">
      <c r="A323" s="1132"/>
      <c r="B323" s="1132"/>
      <c r="D323" s="1132"/>
      <c r="E323" s="1135"/>
      <c r="F323" s="1135"/>
    </row>
    <row r="324" spans="1:6" ht="18" customHeight="1">
      <c r="A324" s="1132"/>
      <c r="B324" s="1132"/>
      <c r="D324" s="1132"/>
      <c r="E324" s="1135"/>
      <c r="F324" s="1135"/>
    </row>
    <row r="325" spans="1:6" ht="18" customHeight="1">
      <c r="A325" s="1132"/>
      <c r="B325" s="1132"/>
      <c r="D325" s="1132"/>
      <c r="E325" s="1135"/>
      <c r="F325" s="1135"/>
    </row>
    <row r="326" spans="1:6" ht="18" customHeight="1">
      <c r="A326" s="1132"/>
      <c r="B326" s="1132"/>
      <c r="D326" s="1132"/>
      <c r="E326" s="1135"/>
      <c r="F326" s="1135"/>
    </row>
    <row r="327" spans="1:6" ht="18" customHeight="1">
      <c r="A327" s="1132"/>
      <c r="B327" s="1132"/>
      <c r="D327" s="1132"/>
      <c r="E327" s="1135"/>
      <c r="F327" s="1135"/>
    </row>
    <row r="328" spans="1:6" ht="18" customHeight="1">
      <c r="A328" s="1132"/>
      <c r="B328" s="1132"/>
      <c r="D328" s="1132"/>
      <c r="E328" s="1135"/>
      <c r="F328" s="1135"/>
    </row>
    <row r="329" spans="1:6" ht="18" customHeight="1">
      <c r="A329" s="1132"/>
      <c r="B329" s="1132"/>
      <c r="D329" s="1132"/>
      <c r="E329" s="1135"/>
      <c r="F329" s="1135"/>
    </row>
    <row r="330" spans="1:6" ht="18" customHeight="1">
      <c r="A330" s="1132"/>
      <c r="B330" s="1132"/>
      <c r="D330" s="1132"/>
      <c r="E330" s="1135"/>
      <c r="F330" s="1135"/>
    </row>
    <row r="331" spans="1:6" ht="18" customHeight="1">
      <c r="A331" s="1132"/>
      <c r="B331" s="1132"/>
      <c r="D331" s="1132"/>
      <c r="E331" s="1135"/>
      <c r="F331" s="1135"/>
    </row>
    <row r="332" spans="1:6" ht="18" customHeight="1">
      <c r="A332" s="1132"/>
      <c r="B332" s="1132"/>
      <c r="D332" s="1132"/>
      <c r="E332" s="1135"/>
      <c r="F332" s="1135"/>
    </row>
    <row r="333" spans="1:6" ht="18" customHeight="1">
      <c r="A333" s="1132"/>
      <c r="B333" s="1132"/>
      <c r="D333" s="1132"/>
      <c r="E333" s="1135"/>
      <c r="F333" s="1135"/>
    </row>
    <row r="334" spans="1:6" ht="18" customHeight="1">
      <c r="A334" s="1132"/>
      <c r="B334" s="1132"/>
      <c r="D334" s="1132"/>
      <c r="E334" s="1135"/>
      <c r="F334" s="1135"/>
    </row>
    <row r="335" spans="1:6" ht="18" customHeight="1">
      <c r="A335" s="1132"/>
      <c r="B335" s="1132"/>
      <c r="D335" s="1132"/>
      <c r="E335" s="1135"/>
      <c r="F335" s="1135"/>
    </row>
    <row r="336" spans="1:6" ht="18" customHeight="1">
      <c r="A336" s="1132"/>
      <c r="B336" s="1132"/>
      <c r="D336" s="1132"/>
      <c r="E336" s="1135"/>
      <c r="F336" s="1135"/>
    </row>
    <row r="337" spans="1:1">
      <c r="A337" s="1132"/>
    </row>
  </sheetData>
  <mergeCells count="1">
    <mergeCell ref="A1:F1"/>
  </mergeCells>
  <phoneticPr fontId="3" type="noConversion"/>
  <printOptions horizontalCentered="1"/>
  <pageMargins left="0.74803149606299213" right="0.19685039370078741" top="0.78740157480314965" bottom="1.1811023622047245" header="0.51181102362204722" footer="0.51181102362204722"/>
  <pageSetup paperSize="9" scale="85" fitToHeight="0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G54"/>
  <sheetViews>
    <sheetView workbookViewId="0">
      <selection activeCell="F33" sqref="F33"/>
    </sheetView>
  </sheetViews>
  <sheetFormatPr defaultRowHeight="12"/>
  <cols>
    <col min="1" max="1" width="9" style="1154"/>
    <col min="2" max="2" width="7.25" style="1154" customWidth="1"/>
    <col min="3" max="3" width="27.125" style="1154" customWidth="1"/>
    <col min="4" max="4" width="20.125" style="1154" customWidth="1"/>
    <col min="5" max="5" width="17.875" style="1154" customWidth="1"/>
    <col min="6" max="6" width="12.375" style="1154" bestFit="1" customWidth="1"/>
    <col min="7" max="7" width="15.375" style="1154" customWidth="1"/>
    <col min="8" max="16384" width="9" style="1154"/>
  </cols>
  <sheetData>
    <row r="2" spans="1:7" ht="22.5">
      <c r="A2" s="1237" t="s">
        <v>5613</v>
      </c>
      <c r="B2" s="1237"/>
      <c r="C2" s="1237"/>
      <c r="D2" s="1237"/>
      <c r="E2" s="1237"/>
    </row>
    <row r="3" spans="1:7" ht="15">
      <c r="A3" s="1155"/>
      <c r="B3" s="1156"/>
      <c r="C3" s="1156"/>
      <c r="D3" s="1157"/>
      <c r="E3" s="1158" t="s">
        <v>5614</v>
      </c>
    </row>
    <row r="4" spans="1:7" ht="22.5" customHeight="1">
      <c r="A4" s="1240" t="s">
        <v>5615</v>
      </c>
      <c r="B4" s="1241"/>
      <c r="C4" s="1242"/>
      <c r="D4" s="1159" t="s">
        <v>5616</v>
      </c>
      <c r="E4" s="1160" t="s">
        <v>5617</v>
      </c>
    </row>
    <row r="5" spans="1:7" ht="22.5" customHeight="1">
      <c r="A5" s="1238" t="s">
        <v>5618</v>
      </c>
      <c r="B5" s="1239"/>
      <c r="C5" s="1161" t="str">
        <f>[25]회사제시IS!C22</f>
        <v>배분사업비/목적사업지원금</v>
      </c>
      <c r="D5" s="1162">
        <f>+FS_worksheet!K165</f>
        <v>4127857818</v>
      </c>
      <c r="E5" s="1163"/>
    </row>
    <row r="6" spans="1:7" ht="22.5" customHeight="1">
      <c r="A6" s="1164"/>
      <c r="B6" s="1165"/>
      <c r="C6" s="1161" t="str">
        <f>[25]회사제시IS!C23</f>
        <v>배분사업비/경비</v>
      </c>
      <c r="D6" s="1162">
        <f>+FS_worksheet!K166+FS_worksheet!K167</f>
        <v>437953646</v>
      </c>
      <c r="E6" s="1166"/>
    </row>
    <row r="7" spans="1:7" ht="22.5" customHeight="1">
      <c r="A7" s="1167" t="s">
        <v>5619</v>
      </c>
      <c r="B7" s="1168"/>
      <c r="C7" s="1169"/>
      <c r="D7" s="1170">
        <f>SUM(D5:D6)</f>
        <v>4565811464</v>
      </c>
      <c r="E7" s="1171"/>
      <c r="G7" s="1172"/>
    </row>
    <row r="8" spans="1:7" ht="22.5" customHeight="1">
      <c r="A8" s="1173"/>
      <c r="B8" s="1174"/>
      <c r="C8" s="1174"/>
      <c r="D8" s="1175"/>
      <c r="E8" s="1176"/>
      <c r="G8" s="1177"/>
    </row>
    <row r="9" spans="1:7" ht="22.5">
      <c r="A9" s="1237" t="s">
        <v>5620</v>
      </c>
      <c r="B9" s="1237"/>
      <c r="C9" s="1237"/>
      <c r="D9" s="1237"/>
      <c r="E9" s="1237"/>
    </row>
    <row r="10" spans="1:7" ht="15">
      <c r="A10" s="1155"/>
      <c r="B10" s="1156"/>
      <c r="C10" s="1156"/>
      <c r="D10" s="1157"/>
      <c r="E10" s="1158" t="s">
        <v>5614</v>
      </c>
    </row>
    <row r="11" spans="1:7" ht="22.5" customHeight="1">
      <c r="A11" s="1240" t="s">
        <v>5615</v>
      </c>
      <c r="B11" s="1241"/>
      <c r="C11" s="1242"/>
      <c r="D11" s="1159" t="s">
        <v>5616</v>
      </c>
      <c r="E11" s="1160" t="s">
        <v>5617</v>
      </c>
    </row>
    <row r="12" spans="1:7" ht="22.5" customHeight="1">
      <c r="A12" s="1243" t="s">
        <v>5621</v>
      </c>
      <c r="B12" s="1244"/>
      <c r="C12" s="1178" t="s">
        <v>5622</v>
      </c>
      <c r="D12" s="1162">
        <f>+FS_worksheet!K162</f>
        <v>17197020</v>
      </c>
      <c r="E12" s="1163"/>
    </row>
    <row r="13" spans="1:7" ht="22.5" customHeight="1">
      <c r="A13" s="1179"/>
      <c r="B13" s="1165"/>
      <c r="C13" s="1178" t="s">
        <v>5623</v>
      </c>
      <c r="D13" s="1162">
        <f>+FS_worksheet!K163</f>
        <v>7314360</v>
      </c>
      <c r="E13" s="1163"/>
    </row>
    <row r="14" spans="1:7" ht="22.5" customHeight="1">
      <c r="A14" s="1164"/>
      <c r="B14" s="1165"/>
      <c r="C14" s="1178" t="s">
        <v>5624</v>
      </c>
      <c r="D14" s="1162">
        <f>+FS_worksheet!K164</f>
        <v>3873000</v>
      </c>
      <c r="E14" s="1166"/>
      <c r="G14" s="1177"/>
    </row>
    <row r="15" spans="1:7" ht="22.5" customHeight="1">
      <c r="A15" s="1167" t="s">
        <v>5619</v>
      </c>
      <c r="B15" s="1168"/>
      <c r="C15" s="1169"/>
      <c r="D15" s="1170">
        <f>SUM(D12:D14)</f>
        <v>28384380</v>
      </c>
      <c r="E15" s="1171"/>
    </row>
    <row r="16" spans="1:7" ht="22.5" customHeight="1">
      <c r="A16" s="1173"/>
      <c r="B16" s="1174"/>
      <c r="C16" s="1174"/>
      <c r="D16" s="1175"/>
      <c r="E16" s="1176"/>
    </row>
    <row r="17" spans="1:6" ht="22.5">
      <c r="A17" s="1237" t="s">
        <v>5625</v>
      </c>
      <c r="B17" s="1237"/>
      <c r="C17" s="1237"/>
      <c r="D17" s="1237"/>
      <c r="E17" s="1237"/>
    </row>
    <row r="18" spans="1:6" ht="15">
      <c r="A18" s="1155"/>
      <c r="B18" s="1156"/>
      <c r="C18" s="1156"/>
      <c r="D18" s="1157"/>
      <c r="E18" s="1158" t="s">
        <v>5614</v>
      </c>
    </row>
    <row r="19" spans="1:6" ht="22.5" customHeight="1">
      <c r="A19" s="1240" t="s">
        <v>5615</v>
      </c>
      <c r="B19" s="1241"/>
      <c r="C19" s="1242"/>
      <c r="D19" s="1159" t="s">
        <v>5616</v>
      </c>
      <c r="E19" s="1160" t="s">
        <v>5617</v>
      </c>
    </row>
    <row r="20" spans="1:6" ht="22.5" customHeight="1">
      <c r="A20" s="1243" t="s">
        <v>5626</v>
      </c>
      <c r="B20" s="1244"/>
      <c r="C20" s="1178" t="s">
        <v>5627</v>
      </c>
      <c r="D20" s="1162">
        <f>+FS_worksheet!K168</f>
        <v>39631080</v>
      </c>
      <c r="E20" s="1163"/>
    </row>
    <row r="21" spans="1:6" ht="22.5" customHeight="1">
      <c r="A21" s="1179"/>
      <c r="B21" s="1165"/>
      <c r="C21" s="1178" t="s">
        <v>5628</v>
      </c>
      <c r="D21" s="1162">
        <f>+FS_worksheet!K169</f>
        <v>7715130</v>
      </c>
      <c r="E21" s="1163"/>
    </row>
    <row r="22" spans="1:6" ht="22.5" customHeight="1">
      <c r="A22" s="1164"/>
      <c r="B22" s="1165"/>
      <c r="C22" s="1178" t="s">
        <v>5629</v>
      </c>
      <c r="D22" s="1162">
        <f>+FS_worksheet!K170</f>
        <v>17058150</v>
      </c>
      <c r="E22" s="1166"/>
    </row>
    <row r="23" spans="1:6" ht="22.5" customHeight="1">
      <c r="A23" s="1164"/>
      <c r="B23" s="1165"/>
      <c r="C23" s="1178" t="s">
        <v>5630</v>
      </c>
      <c r="D23" s="1162">
        <f>+FS_worksheet!K171</f>
        <v>1851560</v>
      </c>
      <c r="E23" s="1166"/>
    </row>
    <row r="24" spans="1:6" ht="22.5" customHeight="1">
      <c r="A24" s="1167" t="s">
        <v>5619</v>
      </c>
      <c r="B24" s="1168"/>
      <c r="C24" s="1169"/>
      <c r="D24" s="1170">
        <f>SUM(D20:D23)</f>
        <v>66255920</v>
      </c>
      <c r="E24" s="1171"/>
    </row>
    <row r="25" spans="1:6" ht="22.5" customHeight="1">
      <c r="A25" s="1173"/>
      <c r="B25" s="1174"/>
      <c r="C25" s="1174"/>
      <c r="D25" s="1175"/>
      <c r="E25" s="1176"/>
    </row>
    <row r="26" spans="1:6" ht="22.5">
      <c r="A26" s="1237" t="s">
        <v>5631</v>
      </c>
      <c r="B26" s="1237"/>
      <c r="C26" s="1237"/>
      <c r="D26" s="1237"/>
      <c r="E26" s="1237"/>
    </row>
    <row r="27" spans="1:6" ht="15">
      <c r="A27" s="1155"/>
      <c r="B27" s="1156"/>
      <c r="C27" s="1156"/>
      <c r="D27" s="1157"/>
      <c r="E27" s="1158" t="s">
        <v>5614</v>
      </c>
    </row>
    <row r="28" spans="1:6" ht="22.5" customHeight="1">
      <c r="A28" s="1240" t="s">
        <v>5615</v>
      </c>
      <c r="B28" s="1241"/>
      <c r="C28" s="1242"/>
      <c r="D28" s="1159" t="s">
        <v>5616</v>
      </c>
      <c r="E28" s="1160" t="s">
        <v>5617</v>
      </c>
    </row>
    <row r="29" spans="1:6" ht="22.5" customHeight="1">
      <c r="A29" s="1238" t="s">
        <v>5632</v>
      </c>
      <c r="B29" s="1239"/>
      <c r="C29" s="1180" t="s">
        <v>5633</v>
      </c>
      <c r="D29" s="1162">
        <f>+FS_worksheet!K173</f>
        <v>332402140</v>
      </c>
      <c r="E29" s="1163"/>
      <c r="F29" s="1181"/>
    </row>
    <row r="30" spans="1:6" ht="22.5" customHeight="1">
      <c r="A30" s="1164"/>
      <c r="B30" s="1165"/>
      <c r="C30" s="1180" t="s">
        <v>5634</v>
      </c>
      <c r="D30" s="1162">
        <f>+FS_worksheet!K174</f>
        <v>39942100</v>
      </c>
      <c r="E30" s="1166"/>
      <c r="F30" s="1181"/>
    </row>
    <row r="31" spans="1:6" ht="22.5" customHeight="1">
      <c r="A31" s="1164"/>
      <c r="B31" s="1165"/>
      <c r="C31" s="1180" t="s">
        <v>5635</v>
      </c>
      <c r="D31" s="1162">
        <f>+FS_worksheet!K175</f>
        <v>660000</v>
      </c>
      <c r="E31" s="1166"/>
      <c r="F31" s="1181"/>
    </row>
    <row r="32" spans="1:6" ht="22.5" customHeight="1">
      <c r="A32" s="1164"/>
      <c r="B32" s="1165"/>
      <c r="C32" s="1180" t="s">
        <v>5636</v>
      </c>
      <c r="D32" s="1162">
        <f>+FS_worksheet!K176</f>
        <v>1639010</v>
      </c>
      <c r="E32" s="1166"/>
      <c r="F32" s="1181"/>
    </row>
    <row r="33" spans="1:6" ht="22.5" customHeight="1">
      <c r="A33" s="1164"/>
      <c r="B33" s="1165"/>
      <c r="C33" s="1180" t="s">
        <v>5637</v>
      </c>
      <c r="D33" s="1162">
        <f>+FS_worksheet!K177</f>
        <v>1006911</v>
      </c>
      <c r="E33" s="1166"/>
      <c r="F33" s="1181"/>
    </row>
    <row r="34" spans="1:6" ht="22.5" customHeight="1">
      <c r="A34" s="1164"/>
      <c r="B34" s="1165"/>
      <c r="C34" s="1180" t="s">
        <v>5638</v>
      </c>
      <c r="D34" s="1162">
        <f>+FS_worksheet!K178</f>
        <v>10100000</v>
      </c>
      <c r="E34" s="1166"/>
      <c r="F34" s="1181"/>
    </row>
    <row r="35" spans="1:6" ht="22.5" customHeight="1">
      <c r="A35" s="1164"/>
      <c r="B35" s="1165"/>
      <c r="C35" s="1180" t="s">
        <v>5639</v>
      </c>
      <c r="D35" s="1162">
        <f>+FS_worksheet!K179</f>
        <v>4364455</v>
      </c>
      <c r="E35" s="1166"/>
      <c r="F35" s="1181"/>
    </row>
    <row r="36" spans="1:6" ht="22.5" customHeight="1">
      <c r="A36" s="1164"/>
      <c r="B36" s="1165"/>
      <c r="C36" s="1180" t="s">
        <v>5640</v>
      </c>
      <c r="D36" s="1162">
        <f>+FS_worksheet!K180</f>
        <v>4491521</v>
      </c>
      <c r="E36" s="1182"/>
      <c r="F36" s="1181"/>
    </row>
    <row r="37" spans="1:6" ht="22.5" customHeight="1">
      <c r="A37" s="1164"/>
      <c r="B37" s="1165"/>
      <c r="C37" s="1180" t="s">
        <v>5641</v>
      </c>
      <c r="D37" s="1162">
        <f>+FS_worksheet!K181</f>
        <v>1945245</v>
      </c>
      <c r="E37" s="1182"/>
      <c r="F37" s="1181"/>
    </row>
    <row r="38" spans="1:6" ht="22.5" customHeight="1">
      <c r="A38" s="1164"/>
      <c r="B38" s="1165"/>
      <c r="C38" s="1180" t="s">
        <v>5642</v>
      </c>
      <c r="D38" s="1162">
        <f>+FS_worksheet!K182</f>
        <v>508300</v>
      </c>
      <c r="E38" s="1182"/>
      <c r="F38" s="1181"/>
    </row>
    <row r="39" spans="1:6" ht="22.5" customHeight="1">
      <c r="A39" s="1164"/>
      <c r="B39" s="1165"/>
      <c r="C39" s="1180" t="s">
        <v>5643</v>
      </c>
      <c r="D39" s="1162">
        <f>+FS_worksheet!K183</f>
        <v>10810872</v>
      </c>
      <c r="E39" s="1163"/>
      <c r="F39" s="1181"/>
    </row>
    <row r="40" spans="1:6" ht="22.5" customHeight="1">
      <c r="A40" s="1164"/>
      <c r="B40" s="1165"/>
      <c r="C40" s="1180" t="s">
        <v>5644</v>
      </c>
      <c r="D40" s="1162">
        <f>+FS_worksheet!K184</f>
        <v>1229872</v>
      </c>
      <c r="E40" s="1163"/>
      <c r="F40" s="1181"/>
    </row>
    <row r="41" spans="1:6" ht="22.5" customHeight="1">
      <c r="A41" s="1164"/>
      <c r="B41" s="1165"/>
      <c r="C41" s="1180" t="s">
        <v>5645</v>
      </c>
      <c r="D41" s="1162">
        <f>+FS_worksheet!K185</f>
        <v>9207020</v>
      </c>
      <c r="E41" s="1163"/>
      <c r="F41" s="1181"/>
    </row>
    <row r="42" spans="1:6" ht="22.5" customHeight="1">
      <c r="A42" s="1164"/>
      <c r="B42" s="1165"/>
      <c r="C42" s="1180" t="s">
        <v>5646</v>
      </c>
      <c r="D42" s="1162">
        <f>+FS_worksheet!K186</f>
        <v>2069800</v>
      </c>
      <c r="E42" s="1163"/>
      <c r="F42" s="1181"/>
    </row>
    <row r="43" spans="1:6" ht="22.5" customHeight="1">
      <c r="A43" s="1164"/>
      <c r="B43" s="1165"/>
      <c r="C43" s="1180" t="s">
        <v>5647</v>
      </c>
      <c r="D43" s="1162">
        <f>+FS_worksheet!K187</f>
        <v>590860</v>
      </c>
      <c r="E43" s="1163"/>
      <c r="F43" s="1181"/>
    </row>
    <row r="44" spans="1:6" ht="22.5" customHeight="1">
      <c r="A44" s="1164"/>
      <c r="B44" s="1165"/>
      <c r="C44" s="1180" t="s">
        <v>5648</v>
      </c>
      <c r="D44" s="1162">
        <f>+FS_worksheet!K188</f>
        <v>20346064</v>
      </c>
      <c r="E44" s="1163"/>
      <c r="F44" s="1181"/>
    </row>
    <row r="45" spans="1:6" ht="22.5" customHeight="1">
      <c r="A45" s="1164"/>
      <c r="B45" s="1165"/>
      <c r="C45" s="1180" t="s">
        <v>5649</v>
      </c>
      <c r="D45" s="1162">
        <f>+FS_worksheet!K189</f>
        <v>672100</v>
      </c>
      <c r="E45" s="1163"/>
      <c r="F45" s="1181"/>
    </row>
    <row r="46" spans="1:6" ht="22.5" customHeight="1">
      <c r="A46" s="1164"/>
      <c r="B46" s="1165"/>
      <c r="C46" s="1180" t="s">
        <v>5650</v>
      </c>
      <c r="D46" s="1162">
        <f>+FS_worksheet!K190</f>
        <v>3406652</v>
      </c>
      <c r="E46" s="1163"/>
      <c r="F46" s="1181"/>
    </row>
    <row r="47" spans="1:6" ht="22.5" customHeight="1">
      <c r="A47" s="1164"/>
      <c r="B47" s="1165"/>
      <c r="C47" s="1183" t="s">
        <v>5651</v>
      </c>
      <c r="D47" s="1162">
        <f>+FS_worksheet!K191</f>
        <v>50000</v>
      </c>
      <c r="E47" s="1163"/>
      <c r="F47" s="1181"/>
    </row>
    <row r="48" spans="1:6" ht="22.5" customHeight="1">
      <c r="A48" s="1184"/>
      <c r="B48" s="1174"/>
      <c r="C48" s="1180" t="s">
        <v>5652</v>
      </c>
      <c r="D48" s="1162">
        <f>+FS_worksheet!K192</f>
        <v>7400</v>
      </c>
      <c r="E48" s="1185"/>
    </row>
    <row r="49" spans="1:5" ht="22.5" customHeight="1">
      <c r="A49" s="1186"/>
      <c r="B49" s="1187"/>
      <c r="C49" s="1180" t="s">
        <v>5653</v>
      </c>
      <c r="D49" s="1162">
        <f>+FS_worksheet!K193</f>
        <v>75985493</v>
      </c>
      <c r="E49" s="1188"/>
    </row>
    <row r="50" spans="1:5" ht="22.5" customHeight="1">
      <c r="A50" s="1186"/>
      <c r="B50" s="1187"/>
      <c r="C50" s="1180" t="s">
        <v>5654</v>
      </c>
      <c r="D50" s="1162">
        <f>+FS_worksheet!K194</f>
        <v>0</v>
      </c>
      <c r="E50" s="1188"/>
    </row>
    <row r="51" spans="1:5" ht="22.5" customHeight="1">
      <c r="A51" s="1186"/>
      <c r="B51" s="1187"/>
      <c r="C51" s="1180" t="s">
        <v>5655</v>
      </c>
      <c r="D51" s="1162">
        <f>+FS_worksheet!K195</f>
        <v>22397380</v>
      </c>
      <c r="E51" s="1188"/>
    </row>
    <row r="52" spans="1:5" ht="22.5" customHeight="1">
      <c r="A52" s="1186"/>
      <c r="B52" s="1187"/>
      <c r="C52" s="1180" t="s">
        <v>5656</v>
      </c>
      <c r="D52" s="1162">
        <f>+FS_worksheet!K196</f>
        <v>19630</v>
      </c>
      <c r="E52" s="1188"/>
    </row>
    <row r="53" spans="1:5" ht="22.5" customHeight="1">
      <c r="A53" s="1186"/>
      <c r="B53" s="1187"/>
      <c r="C53" s="1180" t="s">
        <v>5657</v>
      </c>
      <c r="D53" s="1162">
        <f>+FS_worksheet!K197</f>
        <v>56497350</v>
      </c>
      <c r="E53" s="1188"/>
    </row>
    <row r="54" spans="1:5" ht="22.5" customHeight="1">
      <c r="A54" s="1167" t="s">
        <v>5658</v>
      </c>
      <c r="B54" s="1168"/>
      <c r="C54" s="1169"/>
      <c r="D54" s="1170">
        <f>SUM(D29:D53)</f>
        <v>600350175</v>
      </c>
      <c r="E54" s="1171"/>
    </row>
  </sheetData>
  <mergeCells count="12">
    <mergeCell ref="A29:B29"/>
    <mergeCell ref="A2:E2"/>
    <mergeCell ref="A4:C4"/>
    <mergeCell ref="A5:B5"/>
    <mergeCell ref="A9:E9"/>
    <mergeCell ref="A11:C11"/>
    <mergeCell ref="A12:B12"/>
    <mergeCell ref="A17:E17"/>
    <mergeCell ref="A19:C19"/>
    <mergeCell ref="A20:B20"/>
    <mergeCell ref="A26:E26"/>
    <mergeCell ref="A28:C28"/>
  </mergeCells>
  <phoneticPr fontId="3" type="noConversion"/>
  <pageMargins left="0.7" right="0.7" top="0.75" bottom="0.75" header="0.3" footer="0.3"/>
  <pageSetup paperSize="9"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C2:L31"/>
  <sheetViews>
    <sheetView workbookViewId="0">
      <selection activeCell="I14" sqref="I14"/>
    </sheetView>
  </sheetViews>
  <sheetFormatPr defaultRowHeight="16.5"/>
  <cols>
    <col min="3" max="3" width="22.875" customWidth="1"/>
    <col min="4" max="4" width="22.5" customWidth="1"/>
    <col min="10" max="10" width="14.625" customWidth="1"/>
    <col min="11" max="11" width="15.375" customWidth="1"/>
    <col min="12" max="12" width="11.875" bestFit="1" customWidth="1"/>
  </cols>
  <sheetData>
    <row r="2" spans="3:12">
      <c r="C2" s="849" t="s">
        <v>2950</v>
      </c>
      <c r="D2" s="850">
        <v>215718656</v>
      </c>
      <c r="G2" t="s">
        <v>2950</v>
      </c>
      <c r="J2" s="823">
        <v>211987654</v>
      </c>
      <c r="K2" s="823">
        <v>200517076</v>
      </c>
      <c r="L2" s="821">
        <f t="shared" ref="L2:L3" si="0">+J2-D2</f>
        <v>-3731002</v>
      </c>
    </row>
    <row r="3" spans="3:12">
      <c r="C3" s="849" t="s">
        <v>2951</v>
      </c>
      <c r="D3" s="850">
        <v>125504908</v>
      </c>
      <c r="G3" t="s">
        <v>2951</v>
      </c>
      <c r="J3" s="823">
        <v>125504908</v>
      </c>
      <c r="K3" s="823">
        <v>125504908</v>
      </c>
      <c r="L3" s="821">
        <f t="shared" si="0"/>
        <v>0</v>
      </c>
    </row>
    <row r="4" spans="3:12">
      <c r="C4" s="849" t="s">
        <v>2952</v>
      </c>
      <c r="D4" s="850">
        <v>4072588567</v>
      </c>
      <c r="G4" t="s">
        <v>2952</v>
      </c>
      <c r="J4" s="823">
        <v>4048618567</v>
      </c>
      <c r="K4" s="823">
        <v>4048618567</v>
      </c>
      <c r="L4" s="821">
        <f>+J4-D4</f>
        <v>-23970000</v>
      </c>
    </row>
    <row r="5" spans="3:12">
      <c r="C5" s="849" t="s">
        <v>2953</v>
      </c>
      <c r="D5" s="850">
        <v>231654162</v>
      </c>
      <c r="G5" t="s">
        <v>2953</v>
      </c>
      <c r="J5" s="823">
        <v>231654162</v>
      </c>
      <c r="K5" s="823">
        <v>231654162</v>
      </c>
    </row>
    <row r="6" spans="3:12">
      <c r="C6" s="849" t="s">
        <v>2954</v>
      </c>
      <c r="D6" s="850">
        <v>158666000</v>
      </c>
      <c r="G6" t="s">
        <v>2954</v>
      </c>
      <c r="J6" s="823">
        <v>158666000</v>
      </c>
      <c r="K6" s="823">
        <v>158666000</v>
      </c>
    </row>
    <row r="7" spans="3:12">
      <c r="C7" s="849" t="s">
        <v>2955</v>
      </c>
      <c r="D7" s="850">
        <v>233400</v>
      </c>
      <c r="G7" t="s">
        <v>2955</v>
      </c>
      <c r="J7" s="823">
        <v>233400</v>
      </c>
      <c r="K7" s="823">
        <v>233400</v>
      </c>
    </row>
    <row r="8" spans="3:12">
      <c r="C8" s="849" t="s">
        <v>2956</v>
      </c>
      <c r="D8" s="850">
        <v>500000</v>
      </c>
      <c r="G8" t="s">
        <v>2956</v>
      </c>
      <c r="J8" s="823">
        <v>500000</v>
      </c>
      <c r="K8" s="823">
        <v>500000</v>
      </c>
    </row>
    <row r="9" spans="3:12">
      <c r="C9" s="849" t="s">
        <v>2957</v>
      </c>
      <c r="D9" s="850">
        <v>32100000</v>
      </c>
      <c r="G9" t="s">
        <v>2957</v>
      </c>
      <c r="J9" s="823">
        <v>32100000</v>
      </c>
      <c r="K9" s="823">
        <v>32100000</v>
      </c>
    </row>
    <row r="10" spans="3:12">
      <c r="C10" s="849" t="s">
        <v>2958</v>
      </c>
      <c r="D10" s="850">
        <v>72297790</v>
      </c>
      <c r="G10" t="s">
        <v>2958</v>
      </c>
      <c r="J10" s="823">
        <v>72297790</v>
      </c>
      <c r="K10" s="823">
        <v>72297790</v>
      </c>
    </row>
    <row r="11" spans="3:12">
      <c r="C11" s="849" t="s">
        <v>2959</v>
      </c>
      <c r="D11" s="850">
        <v>32200000</v>
      </c>
      <c r="G11" t="s">
        <v>2959</v>
      </c>
      <c r="J11" s="823">
        <v>32200000</v>
      </c>
      <c r="K11" s="823">
        <v>32200000</v>
      </c>
    </row>
    <row r="12" spans="3:12">
      <c r="C12" s="849" t="s">
        <v>2960</v>
      </c>
      <c r="D12" s="1021">
        <v>19000881</v>
      </c>
      <c r="G12" t="s">
        <v>2960</v>
      </c>
      <c r="J12" s="823">
        <v>22731883</v>
      </c>
      <c r="K12" s="823">
        <v>34202461</v>
      </c>
      <c r="L12" s="821">
        <f>+J12-D12</f>
        <v>3731002</v>
      </c>
    </row>
    <row r="13" spans="3:12">
      <c r="C13" s="849" t="s">
        <v>2961</v>
      </c>
      <c r="D13" s="850">
        <v>11677290</v>
      </c>
      <c r="G13" t="s">
        <v>2961</v>
      </c>
      <c r="J13" s="823">
        <v>11677290</v>
      </c>
      <c r="K13" s="823">
        <v>11677290</v>
      </c>
    </row>
    <row r="14" spans="3:12">
      <c r="C14" s="849" t="s">
        <v>2962</v>
      </c>
      <c r="D14" s="850">
        <v>9702800</v>
      </c>
      <c r="G14" t="s">
        <v>2962</v>
      </c>
      <c r="J14" s="823">
        <v>9702800</v>
      </c>
      <c r="K14" s="823">
        <v>9702800</v>
      </c>
    </row>
    <row r="15" spans="3:12">
      <c r="C15" s="849" t="s">
        <v>2963</v>
      </c>
      <c r="D15" s="850">
        <v>1538600</v>
      </c>
      <c r="G15" t="s">
        <v>2963</v>
      </c>
      <c r="J15" s="823">
        <v>1538600</v>
      </c>
      <c r="K15" s="823">
        <v>1538600</v>
      </c>
    </row>
    <row r="16" spans="3:12">
      <c r="C16" s="849" t="s">
        <v>2964</v>
      </c>
      <c r="D16" s="850">
        <v>8232916</v>
      </c>
      <c r="G16" t="s">
        <v>2964</v>
      </c>
      <c r="J16" s="823">
        <v>8232916</v>
      </c>
      <c r="K16" s="823">
        <v>8232916</v>
      </c>
    </row>
    <row r="17" spans="3:12">
      <c r="C17" s="849" t="s">
        <v>2965</v>
      </c>
      <c r="D17" s="850">
        <v>635000</v>
      </c>
      <c r="G17" t="s">
        <v>2965</v>
      </c>
      <c r="J17" s="823">
        <v>635000</v>
      </c>
      <c r="K17" s="823">
        <v>635000</v>
      </c>
    </row>
    <row r="18" spans="3:12">
      <c r="C18" s="849" t="s">
        <v>2966</v>
      </c>
      <c r="D18" s="850">
        <v>0</v>
      </c>
    </row>
    <row r="19" spans="3:12">
      <c r="C19" s="849" t="s">
        <v>2967</v>
      </c>
      <c r="D19" s="850">
        <v>0</v>
      </c>
    </row>
    <row r="20" spans="3:12">
      <c r="C20" s="849" t="s">
        <v>2968</v>
      </c>
      <c r="D20" s="850">
        <v>0</v>
      </c>
    </row>
    <row r="21" spans="3:12">
      <c r="C21" s="849" t="s">
        <v>2969</v>
      </c>
      <c r="D21" s="850">
        <v>17197020</v>
      </c>
      <c r="J21" s="823">
        <v>17197020</v>
      </c>
      <c r="K21" s="821">
        <f>+D21-J21</f>
        <v>0</v>
      </c>
    </row>
    <row r="22" spans="3:12">
      <c r="C22" s="849" t="s">
        <v>2970</v>
      </c>
      <c r="D22" s="850">
        <v>7314360</v>
      </c>
      <c r="J22" s="823">
        <v>7314360</v>
      </c>
      <c r="K22" s="821">
        <f t="shared" ref="K22:K30" si="1">+D22-J22</f>
        <v>0</v>
      </c>
    </row>
    <row r="23" spans="3:12">
      <c r="C23" s="849" t="s">
        <v>2971</v>
      </c>
      <c r="D23" s="850">
        <v>3873000</v>
      </c>
      <c r="J23" s="823">
        <v>3873000</v>
      </c>
      <c r="K23" s="821">
        <f t="shared" si="1"/>
        <v>0</v>
      </c>
    </row>
    <row r="24" spans="3:12">
      <c r="C24" s="849" t="s">
        <v>2972</v>
      </c>
      <c r="D24" s="850">
        <v>4127857818</v>
      </c>
      <c r="J24" s="823">
        <v>4103887818</v>
      </c>
      <c r="L24" s="821">
        <f>+D24-J24</f>
        <v>23970000</v>
      </c>
    </row>
    <row r="25" spans="3:12">
      <c r="C25" s="849" t="s">
        <v>2973</v>
      </c>
      <c r="D25" s="850">
        <v>280036246</v>
      </c>
      <c r="J25" s="823">
        <v>280036246</v>
      </c>
      <c r="K25" s="821">
        <f t="shared" si="1"/>
        <v>0</v>
      </c>
    </row>
    <row r="26" spans="3:12">
      <c r="C26" s="849" t="s">
        <v>2974</v>
      </c>
      <c r="D26" s="850">
        <v>157917400</v>
      </c>
      <c r="J26" s="823">
        <v>157917400</v>
      </c>
      <c r="K26" s="821">
        <f t="shared" si="1"/>
        <v>0</v>
      </c>
    </row>
    <row r="27" spans="3:12">
      <c r="C27" s="849" t="s">
        <v>2975</v>
      </c>
      <c r="D27" s="850">
        <v>39631080</v>
      </c>
      <c r="J27" s="823">
        <v>39631080</v>
      </c>
      <c r="K27" s="821">
        <f t="shared" si="1"/>
        <v>0</v>
      </c>
    </row>
    <row r="28" spans="3:12">
      <c r="C28" s="849" t="s">
        <v>2976</v>
      </c>
      <c r="D28" s="850">
        <v>7715130</v>
      </c>
      <c r="J28" s="823">
        <v>7715130</v>
      </c>
      <c r="K28" s="821">
        <f t="shared" si="1"/>
        <v>0</v>
      </c>
    </row>
    <row r="29" spans="3:12">
      <c r="C29" s="849" t="s">
        <v>2977</v>
      </c>
      <c r="D29" s="850">
        <v>17058150</v>
      </c>
      <c r="J29" s="823">
        <v>17058150</v>
      </c>
      <c r="K29" s="821">
        <f t="shared" si="1"/>
        <v>0</v>
      </c>
    </row>
    <row r="30" spans="3:12">
      <c r="C30" s="849" t="s">
        <v>2978</v>
      </c>
      <c r="D30" s="850">
        <v>1851560</v>
      </c>
      <c r="J30" s="823">
        <v>1851560</v>
      </c>
      <c r="K30" s="821">
        <f t="shared" si="1"/>
        <v>0</v>
      </c>
    </row>
    <row r="31" spans="3:12">
      <c r="C31" s="849" t="s">
        <v>2979</v>
      </c>
      <c r="D31" s="850">
        <v>0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1:FG224"/>
  <sheetViews>
    <sheetView view="pageBreakPreview" zoomScale="85" zoomScaleSheetLayoutView="85" workbookViewId="0">
      <selection activeCell="F5" sqref="F5"/>
    </sheetView>
  </sheetViews>
  <sheetFormatPr defaultRowHeight="16.5"/>
  <cols>
    <col min="1" max="1" width="2.625" customWidth="1"/>
    <col min="2" max="2" width="4.125" customWidth="1"/>
    <col min="3" max="3" width="2.25" customWidth="1"/>
    <col min="4" max="4" width="22" customWidth="1"/>
    <col min="5" max="13" width="14" customWidth="1"/>
    <col min="14" max="14" width="17.375" customWidth="1"/>
    <col min="15" max="15" width="14.75" customWidth="1"/>
  </cols>
  <sheetData>
    <row r="1" spans="1:163" s="7" customFormat="1" ht="30" customHeight="1">
      <c r="A1" s="4" t="s">
        <v>2664</v>
      </c>
      <c r="B1" s="5"/>
      <c r="C1" s="5"/>
      <c r="D1" s="5"/>
      <c r="E1" s="6"/>
      <c r="F1" s="5"/>
      <c r="G1" s="6"/>
      <c r="H1" s="5"/>
      <c r="I1" s="6"/>
      <c r="J1" s="5"/>
      <c r="K1" s="6"/>
      <c r="L1" s="5"/>
      <c r="M1" s="5"/>
    </row>
    <row r="2" spans="1:163" s="12" customFormat="1" ht="12" customHeight="1">
      <c r="A2" s="8"/>
      <c r="B2" s="9"/>
      <c r="C2" s="10"/>
      <c r="D2" s="9"/>
      <c r="E2" s="11"/>
      <c r="F2" s="11"/>
      <c r="G2" s="11"/>
      <c r="H2" s="11"/>
      <c r="I2" s="11"/>
      <c r="J2" s="11"/>
      <c r="K2" s="11"/>
      <c r="L2" s="11"/>
      <c r="M2" s="11"/>
    </row>
    <row r="3" spans="1:163" s="12" customFormat="1" ht="15.75" customHeight="1">
      <c r="A3" s="10" t="str">
        <f>기본사항!C5</f>
        <v>제  13  기  2011년 12월 31일  현재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63" s="12" customFormat="1" ht="15.75" customHeight="1">
      <c r="A4" s="10" t="str">
        <f>기본사항!C6</f>
        <v>제  12  기  2010년 12월 31일  현재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63" s="15" customFormat="1" ht="24" customHeight="1">
      <c r="A5" s="14"/>
      <c r="B5" s="14"/>
      <c r="D5" s="16"/>
      <c r="E5" s="17"/>
      <c r="F5" s="17"/>
      <c r="G5" s="17"/>
      <c r="H5" s="17"/>
      <c r="I5" s="402"/>
      <c r="J5" s="403">
        <f>I6-J6</f>
        <v>0</v>
      </c>
      <c r="K5" s="402"/>
      <c r="L5" s="402"/>
      <c r="M5" s="402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</row>
    <row r="6" spans="1:163" s="15" customFormat="1" ht="15" customHeight="1">
      <c r="A6" s="19" t="str">
        <f>기본사항!C2</f>
        <v>(재)한국여성재단</v>
      </c>
      <c r="B6" s="14"/>
      <c r="D6" s="16"/>
      <c r="E6" s="17"/>
      <c r="F6" s="17"/>
      <c r="G6" s="17"/>
      <c r="H6" s="17"/>
      <c r="I6" s="403">
        <f>SUM(I9:I222)</f>
        <v>315323306</v>
      </c>
      <c r="J6" s="403">
        <f>SUM(J9:J222)</f>
        <v>315323306</v>
      </c>
      <c r="K6" s="402"/>
      <c r="L6" s="403">
        <f>L75-L118</f>
        <v>0</v>
      </c>
      <c r="M6" s="1015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</row>
    <row r="7" spans="1:163" s="15" customFormat="1" ht="6" customHeight="1">
      <c r="A7" s="20"/>
      <c r="B7" s="21"/>
      <c r="C7" s="22"/>
      <c r="D7" s="20"/>
      <c r="E7" s="23"/>
      <c r="F7" s="23"/>
      <c r="G7" s="23"/>
      <c r="H7" s="23"/>
      <c r="I7" s="23"/>
      <c r="J7" s="23"/>
      <c r="K7" s="23"/>
      <c r="L7" s="23"/>
      <c r="M7" s="46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</row>
    <row r="8" spans="1:163" s="27" customFormat="1" ht="36" customHeight="1">
      <c r="A8" s="1245" t="s">
        <v>77</v>
      </c>
      <c r="B8" s="1246"/>
      <c r="C8" s="1246"/>
      <c r="D8" s="1247"/>
      <c r="E8" s="24" t="str">
        <f>기본사항!$C$4</f>
        <v>제  12  기</v>
      </c>
      <c r="F8" s="24"/>
      <c r="G8" s="24" t="str">
        <f>기본사항!$C$3</f>
        <v>제  13  기</v>
      </c>
      <c r="H8" s="24"/>
      <c r="I8" s="24" t="s">
        <v>78</v>
      </c>
      <c r="J8" s="24"/>
      <c r="K8" s="25" t="s">
        <v>79</v>
      </c>
      <c r="L8" s="26" t="str">
        <f>기본사항!C3</f>
        <v>제  13  기</v>
      </c>
      <c r="M8" s="1016"/>
    </row>
    <row r="9" spans="1:163" s="15" customFormat="1" ht="20.25" customHeight="1">
      <c r="A9" s="28"/>
      <c r="B9" s="29" t="s">
        <v>80</v>
      </c>
      <c r="C9" s="12"/>
      <c r="D9" s="30"/>
      <c r="E9" s="389"/>
      <c r="F9" s="389"/>
      <c r="G9" s="389"/>
      <c r="H9" s="389"/>
      <c r="I9" s="390"/>
      <c r="J9" s="390"/>
      <c r="K9" s="389"/>
      <c r="L9" s="389"/>
      <c r="M9" s="1017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</row>
    <row r="10" spans="1:163" s="15" customFormat="1" ht="20.25" customHeight="1">
      <c r="A10" s="2" t="s">
        <v>22</v>
      </c>
      <c r="B10" s="29" t="s">
        <v>6</v>
      </c>
      <c r="C10" s="18"/>
      <c r="D10" s="31"/>
      <c r="E10" s="389"/>
      <c r="F10" s="389">
        <f>SUM(F11,F27)</f>
        <v>7390531742</v>
      </c>
      <c r="G10" s="389"/>
      <c r="H10" s="389">
        <f>SUM(H11,H27)</f>
        <v>7093933717</v>
      </c>
      <c r="I10" s="389"/>
      <c r="J10" s="389"/>
      <c r="K10" s="389"/>
      <c r="L10" s="389">
        <f>SUM(L11,L27)</f>
        <v>7107561843</v>
      </c>
      <c r="M10" s="1017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</row>
    <row r="11" spans="1:163" s="15" customFormat="1" ht="20.25" customHeight="1">
      <c r="A11" s="2"/>
      <c r="B11" s="32" t="s">
        <v>23</v>
      </c>
      <c r="C11" s="29" t="s">
        <v>24</v>
      </c>
      <c r="D11" s="31"/>
      <c r="E11" s="389"/>
      <c r="F11" s="389">
        <f>SUM(E12:E26)</f>
        <v>7390531742</v>
      </c>
      <c r="G11" s="389"/>
      <c r="H11" s="389">
        <f>SUM(G12:G26)</f>
        <v>7093933717</v>
      </c>
      <c r="I11" s="389"/>
      <c r="J11" s="389"/>
      <c r="K11" s="389"/>
      <c r="L11" s="389">
        <f>SUM(K12:K26)</f>
        <v>7107561843</v>
      </c>
      <c r="M11" s="1017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</row>
    <row r="12" spans="1:163" s="15" customFormat="1" ht="20.25" customHeight="1">
      <c r="A12" s="2"/>
      <c r="B12" s="33" t="s">
        <v>25</v>
      </c>
      <c r="C12" s="34" t="str">
        <f>'BS(회사)'!D9</f>
        <v xml:space="preserve">      현              금</v>
      </c>
      <c r="D12" s="31"/>
      <c r="E12" s="389">
        <f>'BS(회사)'!F9</f>
        <v>88920</v>
      </c>
      <c r="F12" s="391"/>
      <c r="G12" s="389">
        <f>'BS(회사)'!C9</f>
        <v>185560</v>
      </c>
      <c r="H12" s="391"/>
      <c r="I12" s="389"/>
      <c r="J12" s="391"/>
      <c r="K12" s="389">
        <f>G12+I12-J12</f>
        <v>185560</v>
      </c>
      <c r="L12" s="391"/>
      <c r="M12" s="10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</row>
    <row r="13" spans="1:163" s="15" customFormat="1" ht="20.25" customHeight="1">
      <c r="A13" s="2"/>
      <c r="B13" s="33" t="s">
        <v>34</v>
      </c>
      <c r="C13" s="34" t="str">
        <f>'BS(회사)'!D10</f>
        <v xml:space="preserve">      제      예      금</v>
      </c>
      <c r="D13" s="31"/>
      <c r="E13" s="389">
        <f>'BS(회사)'!F10</f>
        <v>1279591534</v>
      </c>
      <c r="F13" s="391"/>
      <c r="G13" s="389">
        <f>'BS(회사)'!C10</f>
        <v>1150360125</v>
      </c>
      <c r="H13" s="391"/>
      <c r="I13" s="389"/>
      <c r="J13" s="391"/>
      <c r="K13" s="389">
        <f t="shared" ref="K13:K32" si="0">G13+I13-J13</f>
        <v>1150360125</v>
      </c>
      <c r="L13" s="391"/>
      <c r="M13" s="10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</row>
    <row r="14" spans="1:163" s="15" customFormat="1" ht="20.25" customHeight="1">
      <c r="A14" s="2"/>
      <c r="B14" s="33" t="s">
        <v>35</v>
      </c>
      <c r="C14" s="34" t="str">
        <f>'BS(회사)'!D11</f>
        <v xml:space="preserve">      정   기  예. 적 금</v>
      </c>
      <c r="D14" s="31"/>
      <c r="E14" s="389">
        <f>'BS(회사)'!F11</f>
        <v>5089941343</v>
      </c>
      <c r="F14" s="391"/>
      <c r="G14" s="389">
        <f>'BS(회사)'!C11</f>
        <v>5215981410</v>
      </c>
      <c r="H14" s="391"/>
      <c r="I14" s="389"/>
      <c r="J14" s="391"/>
      <c r="K14" s="389">
        <f t="shared" si="0"/>
        <v>5215981410</v>
      </c>
      <c r="L14" s="391"/>
      <c r="M14" s="10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</row>
    <row r="15" spans="1:163" s="15" customFormat="1" ht="20.25" customHeight="1">
      <c r="A15" s="2"/>
      <c r="B15" s="33" t="s">
        <v>36</v>
      </c>
      <c r="C15" s="34" t="str">
        <f>'BS(회사)'!D12</f>
        <v xml:space="preserve">      기타 단기금융 상품</v>
      </c>
      <c r="D15" s="31"/>
      <c r="E15" s="389">
        <f>'BS(회사)'!F12</f>
        <v>545304119</v>
      </c>
      <c r="F15" s="391"/>
      <c r="G15" s="389">
        <f>'BS(회사)'!C12</f>
        <v>543613000</v>
      </c>
      <c r="H15" s="391"/>
      <c r="I15" s="389"/>
      <c r="J15" s="391"/>
      <c r="K15" s="389">
        <f t="shared" si="0"/>
        <v>543613000</v>
      </c>
      <c r="L15" s="391"/>
      <c r="M15" s="10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</row>
    <row r="16" spans="1:163" s="15" customFormat="1" ht="20.25" customHeight="1">
      <c r="A16" s="2"/>
      <c r="B16" s="33" t="s">
        <v>39</v>
      </c>
      <c r="C16" s="34" t="str">
        <f>'BS(회사)'!D13</f>
        <v xml:space="preserve">      외  상  매  출  금</v>
      </c>
      <c r="D16" s="31"/>
      <c r="E16" s="389">
        <f>'BS(회사)'!F13</f>
        <v>0</v>
      </c>
      <c r="F16" s="389"/>
      <c r="G16" s="389">
        <f>'BS(회사)'!C13</f>
        <v>4180000</v>
      </c>
      <c r="H16" s="391"/>
      <c r="I16" s="389"/>
      <c r="J16" s="391"/>
      <c r="K16" s="391">
        <f t="shared" si="0"/>
        <v>4180000</v>
      </c>
      <c r="L16" s="391"/>
      <c r="M16" s="10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</row>
    <row r="17" spans="1:163" s="15" customFormat="1" ht="20.25" customHeight="1">
      <c r="A17" s="2"/>
      <c r="B17" s="33" t="s">
        <v>43</v>
      </c>
      <c r="C17" s="34" t="str">
        <f>'BS(회사)'!D14</f>
        <v xml:space="preserve">      미   수     수  익</v>
      </c>
      <c r="D17" s="31"/>
      <c r="E17" s="389">
        <f>'BS(회사)'!F14</f>
        <v>93381167</v>
      </c>
      <c r="F17" s="391"/>
      <c r="G17" s="389">
        <f>'BS(회사)'!C14</f>
        <v>84347246</v>
      </c>
      <c r="H17" s="391"/>
      <c r="I17" s="389">
        <f>'PA(R)JE'!E11</f>
        <v>11358802</v>
      </c>
      <c r="J17" s="391"/>
      <c r="K17" s="392">
        <f t="shared" si="0"/>
        <v>95706048</v>
      </c>
      <c r="L17" s="391"/>
      <c r="M17" s="10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</row>
    <row r="18" spans="1:163" s="15" customFormat="1" ht="20.25" customHeight="1">
      <c r="A18" s="2"/>
      <c r="B18" s="33" t="s">
        <v>44</v>
      </c>
      <c r="C18" s="34" t="str">
        <f>'BS(회사)'!D15</f>
        <v xml:space="preserve">      미      수      금</v>
      </c>
      <c r="D18" s="31"/>
      <c r="E18" s="389">
        <f>'BS(회사)'!F15</f>
        <v>73792000</v>
      </c>
      <c r="F18" s="389"/>
      <c r="G18" s="389">
        <f>'BS(회사)'!C15</f>
        <v>72297790</v>
      </c>
      <c r="H18" s="391"/>
      <c r="I18" s="391"/>
      <c r="J18" s="391"/>
      <c r="K18" s="391">
        <f t="shared" si="0"/>
        <v>72297790</v>
      </c>
      <c r="L18" s="391"/>
      <c r="M18" s="10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</row>
    <row r="19" spans="1:163" s="15" customFormat="1" ht="20.25" customHeight="1">
      <c r="A19" s="2"/>
      <c r="B19" s="33" t="s">
        <v>45</v>
      </c>
      <c r="C19" s="34" t="str">
        <f>'BS(회사)'!D16</f>
        <v xml:space="preserve">      매도가능증권</v>
      </c>
      <c r="D19" s="31"/>
      <c r="E19" s="389">
        <f>'BS(회사)'!F16</f>
        <v>262026459</v>
      </c>
      <c r="F19" s="391"/>
      <c r="G19" s="389">
        <f>'BS(회사)'!C16</f>
        <v>0</v>
      </c>
      <c r="H19" s="391"/>
      <c r="I19" s="391"/>
      <c r="J19" s="391"/>
      <c r="K19" s="392">
        <f t="shared" si="0"/>
        <v>0</v>
      </c>
      <c r="L19" s="391"/>
      <c r="M19" s="10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</row>
    <row r="20" spans="1:163" s="15" customFormat="1" ht="20.25" customHeight="1">
      <c r="A20" s="2"/>
      <c r="B20" s="33" t="s">
        <v>46</v>
      </c>
      <c r="C20" s="34" t="str">
        <f>'BS(회사)'!D17</f>
        <v xml:space="preserve">      선    납   세   금</v>
      </c>
      <c r="D20" s="31"/>
      <c r="E20" s="389">
        <f>'BS(회사)'!F17</f>
        <v>46406200</v>
      </c>
      <c r="F20" s="391"/>
      <c r="G20" s="389">
        <f>'BS(회사)'!C17</f>
        <v>22968586</v>
      </c>
      <c r="H20" s="391"/>
      <c r="I20" s="391">
        <f>'PA(R)JE'!E13</f>
        <v>2269324</v>
      </c>
      <c r="J20" s="391"/>
      <c r="K20" s="391">
        <f t="shared" si="0"/>
        <v>25237910</v>
      </c>
      <c r="L20" s="391"/>
      <c r="M20" s="10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</row>
    <row r="21" spans="1:163" s="15" customFormat="1" ht="20.25" hidden="1" customHeight="1">
      <c r="A21" s="2"/>
      <c r="B21" s="33" t="s">
        <v>41</v>
      </c>
      <c r="C21" s="34" t="e">
        <f>#REF!</f>
        <v>#REF!</v>
      </c>
      <c r="D21" s="12"/>
      <c r="E21" s="391"/>
      <c r="F21" s="391"/>
      <c r="G21" s="389"/>
      <c r="H21" s="391"/>
      <c r="I21" s="391"/>
      <c r="J21" s="391"/>
      <c r="K21" s="391">
        <f t="shared" si="0"/>
        <v>0</v>
      </c>
      <c r="L21" s="391"/>
      <c r="M21" s="10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</row>
    <row r="22" spans="1:163" s="15" customFormat="1" ht="20.25" hidden="1" customHeight="1">
      <c r="A22" s="2"/>
      <c r="B22" s="33" t="s">
        <v>53</v>
      </c>
      <c r="C22" s="34" t="e">
        <f>#REF!</f>
        <v>#REF!</v>
      </c>
      <c r="D22" s="31"/>
      <c r="E22" s="391"/>
      <c r="F22" s="391"/>
      <c r="G22" s="389"/>
      <c r="H22" s="391"/>
      <c r="I22" s="391"/>
      <c r="J22" s="391"/>
      <c r="K22" s="391">
        <f t="shared" si="0"/>
        <v>0</v>
      </c>
      <c r="L22" s="391"/>
      <c r="M22" s="10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</row>
    <row r="23" spans="1:163" s="15" customFormat="1" ht="20.25" hidden="1" customHeight="1">
      <c r="A23" s="2"/>
      <c r="B23" s="33" t="s">
        <v>54</v>
      </c>
      <c r="C23" s="34" t="e">
        <f>#REF!</f>
        <v>#REF!</v>
      </c>
      <c r="D23" s="31"/>
      <c r="E23" s="389"/>
      <c r="F23" s="391"/>
      <c r="G23" s="389"/>
      <c r="H23" s="391"/>
      <c r="I23" s="389"/>
      <c r="J23" s="391"/>
      <c r="K23" s="389">
        <f t="shared" si="0"/>
        <v>0</v>
      </c>
      <c r="L23" s="391"/>
      <c r="M23" s="10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</row>
    <row r="24" spans="1:163" s="15" customFormat="1" ht="20.25" hidden="1" customHeight="1">
      <c r="A24" s="2"/>
      <c r="B24" s="33" t="s">
        <v>55</v>
      </c>
      <c r="C24" s="34" t="e">
        <f>#REF!</f>
        <v>#REF!</v>
      </c>
      <c r="D24" s="31"/>
      <c r="E24" s="391"/>
      <c r="F24" s="391"/>
      <c r="G24" s="391"/>
      <c r="H24" s="391"/>
      <c r="I24" s="393"/>
      <c r="J24" s="391"/>
      <c r="K24" s="391">
        <f t="shared" si="0"/>
        <v>0</v>
      </c>
      <c r="L24" s="391"/>
      <c r="M24" s="10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</row>
    <row r="25" spans="1:163" s="15" customFormat="1" ht="20.25" hidden="1" customHeight="1">
      <c r="A25" s="2"/>
      <c r="B25" s="33" t="s">
        <v>56</v>
      </c>
      <c r="C25" s="34" t="e">
        <f>#REF!</f>
        <v>#REF!</v>
      </c>
      <c r="D25" s="31"/>
      <c r="E25" s="392"/>
      <c r="F25" s="391"/>
      <c r="G25" s="392"/>
      <c r="H25" s="391"/>
      <c r="I25" s="393"/>
      <c r="J25" s="391"/>
      <c r="K25" s="392">
        <f t="shared" si="0"/>
        <v>0</v>
      </c>
      <c r="L25" s="391"/>
      <c r="M25" s="10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</row>
    <row r="26" spans="1:163" s="15" customFormat="1" ht="20.25" hidden="1" customHeight="1">
      <c r="A26" s="2"/>
      <c r="B26" s="33" t="s">
        <v>57</v>
      </c>
      <c r="C26" s="34" t="e">
        <f>#REF!</f>
        <v>#REF!</v>
      </c>
      <c r="D26" s="31"/>
      <c r="E26" s="391"/>
      <c r="F26" s="391"/>
      <c r="G26" s="389"/>
      <c r="H26" s="391"/>
      <c r="I26" s="391"/>
      <c r="J26" s="391"/>
      <c r="K26" s="391">
        <f t="shared" si="0"/>
        <v>0</v>
      </c>
      <c r="L26" s="391"/>
      <c r="M26" s="10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</row>
    <row r="27" spans="1:163" s="15" customFormat="1" ht="20.25" customHeight="1">
      <c r="A27" s="2"/>
      <c r="B27" s="32" t="s">
        <v>40</v>
      </c>
      <c r="C27" s="34" t="s">
        <v>81</v>
      </c>
      <c r="D27" s="31"/>
      <c r="E27" s="389"/>
      <c r="F27" s="389">
        <f>SUM(E28:E32)</f>
        <v>0</v>
      </c>
      <c r="G27" s="389"/>
      <c r="H27" s="389">
        <f>SUM(G28:G32)</f>
        <v>0</v>
      </c>
      <c r="I27" s="389"/>
      <c r="J27" s="389"/>
      <c r="K27" s="389"/>
      <c r="L27" s="389">
        <f>SUM(K28:K32)</f>
        <v>0</v>
      </c>
      <c r="M27" s="1017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</row>
    <row r="28" spans="1:163" s="15" customFormat="1" ht="20.25" hidden="1" customHeight="1">
      <c r="A28" s="2"/>
      <c r="B28" s="33" t="s">
        <v>25</v>
      </c>
      <c r="C28" s="34" t="e">
        <f>#REF!</f>
        <v>#REF!</v>
      </c>
      <c r="D28" s="31"/>
      <c r="E28" s="389"/>
      <c r="F28" s="391"/>
      <c r="G28" s="389"/>
      <c r="H28" s="391"/>
      <c r="I28" s="389"/>
      <c r="J28" s="391"/>
      <c r="K28" s="389">
        <f t="shared" si="0"/>
        <v>0</v>
      </c>
      <c r="L28" s="391"/>
      <c r="M28" s="10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</row>
    <row r="29" spans="1:163" s="15" customFormat="1" ht="20.25" hidden="1" customHeight="1">
      <c r="A29" s="2"/>
      <c r="B29" s="33" t="s">
        <v>34</v>
      </c>
      <c r="C29" s="34" t="e">
        <f>#REF!</f>
        <v>#REF!</v>
      </c>
      <c r="D29" s="31"/>
      <c r="E29" s="389"/>
      <c r="F29" s="391"/>
      <c r="G29" s="389"/>
      <c r="H29" s="391"/>
      <c r="I29" s="389"/>
      <c r="J29" s="391"/>
      <c r="K29" s="389">
        <f t="shared" si="0"/>
        <v>0</v>
      </c>
      <c r="L29" s="391"/>
      <c r="M29" s="10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</row>
    <row r="30" spans="1:163" s="15" customFormat="1" ht="20.25" hidden="1" customHeight="1">
      <c r="A30" s="2"/>
      <c r="B30" s="33" t="s">
        <v>35</v>
      </c>
      <c r="C30" s="34" t="e">
        <f>#REF!</f>
        <v>#REF!</v>
      </c>
      <c r="D30" s="31"/>
      <c r="E30" s="389"/>
      <c r="F30" s="391"/>
      <c r="G30" s="389"/>
      <c r="H30" s="391"/>
      <c r="I30" s="389"/>
      <c r="J30" s="391"/>
      <c r="K30" s="389">
        <f t="shared" si="0"/>
        <v>0</v>
      </c>
      <c r="L30" s="391"/>
      <c r="M30" s="10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</row>
    <row r="31" spans="1:163" s="15" customFormat="1" ht="20.25" hidden="1" customHeight="1">
      <c r="A31" s="2"/>
      <c r="B31" s="33" t="s">
        <v>36</v>
      </c>
      <c r="C31" s="34" t="e">
        <f>#REF!</f>
        <v>#REF!</v>
      </c>
      <c r="D31" s="31"/>
      <c r="E31" s="389"/>
      <c r="F31" s="391"/>
      <c r="G31" s="389"/>
      <c r="H31" s="391"/>
      <c r="I31" s="389"/>
      <c r="J31" s="391"/>
      <c r="K31" s="389">
        <f t="shared" si="0"/>
        <v>0</v>
      </c>
      <c r="L31" s="391"/>
      <c r="M31" s="10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</row>
    <row r="32" spans="1:163" s="15" customFormat="1" ht="20.25" hidden="1" customHeight="1">
      <c r="A32" s="2"/>
      <c r="B32" s="33" t="s">
        <v>39</v>
      </c>
      <c r="C32" s="34" t="e">
        <f>#REF!</f>
        <v>#REF!</v>
      </c>
      <c r="D32" s="31"/>
      <c r="E32" s="389"/>
      <c r="F32" s="391"/>
      <c r="G32" s="389"/>
      <c r="H32" s="391"/>
      <c r="I32" s="389"/>
      <c r="J32" s="391"/>
      <c r="K32" s="389">
        <f t="shared" si="0"/>
        <v>0</v>
      </c>
      <c r="L32" s="391"/>
      <c r="M32" s="10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</row>
    <row r="33" spans="1:163" s="15" customFormat="1" ht="20.25" customHeight="1">
      <c r="A33" s="2" t="s">
        <v>37</v>
      </c>
      <c r="B33" s="29" t="s">
        <v>82</v>
      </c>
      <c r="C33" s="18"/>
      <c r="D33" s="31"/>
      <c r="E33" s="389"/>
      <c r="F33" s="389">
        <f>SUM(F34,F44,F63,F68)</f>
        <v>3038391984</v>
      </c>
      <c r="G33" s="389"/>
      <c r="H33" s="389">
        <f>SUM(H34,H44,H63,H68)</f>
        <v>2954100253</v>
      </c>
      <c r="I33" s="389"/>
      <c r="J33" s="389"/>
      <c r="K33" s="389"/>
      <c r="L33" s="389">
        <f>SUM(L34,L44,L63,L68)</f>
        <v>2961799668</v>
      </c>
      <c r="M33" s="1017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</row>
    <row r="34" spans="1:163" s="15" customFormat="1" ht="20.25" customHeight="1">
      <c r="A34" s="2"/>
      <c r="B34" s="32" t="s">
        <v>23</v>
      </c>
      <c r="C34" s="34" t="s">
        <v>38</v>
      </c>
      <c r="D34" s="31"/>
      <c r="E34" s="389"/>
      <c r="F34" s="389">
        <f>SUM(E35:E43)</f>
        <v>69777698</v>
      </c>
      <c r="G34" s="389"/>
      <c r="H34" s="389">
        <f>SUM(G35:G43)</f>
        <v>60128275</v>
      </c>
      <c r="I34" s="389"/>
      <c r="J34" s="389"/>
      <c r="K34" s="389"/>
      <c r="L34" s="389">
        <f>SUM(K35:K43)</f>
        <v>60128275</v>
      </c>
      <c r="M34" s="101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</row>
    <row r="35" spans="1:163" s="15" customFormat="1" ht="20.25" customHeight="1">
      <c r="A35" s="2"/>
      <c r="B35" s="33" t="s">
        <v>25</v>
      </c>
      <c r="C35" s="34" t="str">
        <f>'BS(회사)'!D21</f>
        <v xml:space="preserve">      장  기  성  예  금</v>
      </c>
      <c r="D35" s="31"/>
      <c r="E35" s="389">
        <f>'BS(회사)'!F21</f>
        <v>9652544</v>
      </c>
      <c r="F35" s="391"/>
      <c r="G35" s="389">
        <f>'BS(회사)'!C21</f>
        <v>15748892</v>
      </c>
      <c r="H35" s="391"/>
      <c r="I35" s="389"/>
      <c r="J35" s="391"/>
      <c r="K35" s="389">
        <f>G35+I35-J35</f>
        <v>15748892</v>
      </c>
      <c r="L35" s="391"/>
      <c r="M35" s="10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</row>
    <row r="36" spans="1:163" s="15" customFormat="1" ht="20.25" customHeight="1">
      <c r="A36" s="2"/>
      <c r="B36" s="33" t="s">
        <v>34</v>
      </c>
      <c r="C36" s="34" t="str">
        <f>'BS(회사)'!D22</f>
        <v xml:space="preserve">      퇴직연금운용자산</v>
      </c>
      <c r="D36" s="31"/>
      <c r="E36" s="389">
        <f>'BS(회사)'!F22</f>
        <v>60125154</v>
      </c>
      <c r="F36" s="391"/>
      <c r="G36" s="389">
        <f>'BS(회사)'!C22</f>
        <v>44379383</v>
      </c>
      <c r="H36" s="391"/>
      <c r="I36" s="389"/>
      <c r="J36" s="391"/>
      <c r="K36" s="389">
        <f t="shared" ref="K36:K62" si="1">G36+I36-J36</f>
        <v>44379383</v>
      </c>
      <c r="L36" s="391"/>
      <c r="M36" s="10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</row>
    <row r="37" spans="1:163" s="15" customFormat="1" ht="20.25" hidden="1" customHeight="1">
      <c r="A37" s="2"/>
      <c r="B37" s="33" t="s">
        <v>35</v>
      </c>
      <c r="C37" s="34" t="e">
        <f>#REF!</f>
        <v>#REF!</v>
      </c>
      <c r="D37" s="31"/>
      <c r="E37" s="389"/>
      <c r="F37" s="391"/>
      <c r="G37" s="389"/>
      <c r="H37" s="391"/>
      <c r="I37" s="389"/>
      <c r="J37" s="391"/>
      <c r="K37" s="389">
        <f t="shared" si="1"/>
        <v>0</v>
      </c>
      <c r="L37" s="391"/>
      <c r="M37" s="10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</row>
    <row r="38" spans="1:163" s="15" customFormat="1" ht="20.25" hidden="1" customHeight="1">
      <c r="A38" s="2"/>
      <c r="B38" s="33" t="s">
        <v>36</v>
      </c>
      <c r="C38" s="34" t="e">
        <f>#REF!</f>
        <v>#REF!</v>
      </c>
      <c r="D38" s="31"/>
      <c r="E38" s="389"/>
      <c r="F38" s="391"/>
      <c r="G38" s="389"/>
      <c r="H38" s="391"/>
      <c r="I38" s="389"/>
      <c r="J38" s="391"/>
      <c r="K38" s="389">
        <f t="shared" si="1"/>
        <v>0</v>
      </c>
      <c r="L38" s="391"/>
      <c r="M38" s="10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</row>
    <row r="39" spans="1:163" s="15" customFormat="1" ht="20.25" hidden="1" customHeight="1">
      <c r="A39" s="2"/>
      <c r="B39" s="33" t="s">
        <v>39</v>
      </c>
      <c r="C39" s="34" t="e">
        <f>#REF!</f>
        <v>#REF!</v>
      </c>
      <c r="D39" s="31"/>
      <c r="E39" s="389"/>
      <c r="F39" s="391"/>
      <c r="G39" s="389"/>
      <c r="H39" s="391"/>
      <c r="I39" s="389"/>
      <c r="J39" s="391"/>
      <c r="K39" s="389">
        <f t="shared" si="1"/>
        <v>0</v>
      </c>
      <c r="L39" s="391"/>
      <c r="M39" s="10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</row>
    <row r="40" spans="1:163" s="15" customFormat="1" ht="20.25" hidden="1" customHeight="1">
      <c r="A40" s="2"/>
      <c r="B40" s="33" t="s">
        <v>43</v>
      </c>
      <c r="C40" s="34" t="e">
        <f>#REF!</f>
        <v>#REF!</v>
      </c>
      <c r="D40" s="31"/>
      <c r="E40" s="389"/>
      <c r="F40" s="391"/>
      <c r="G40" s="389"/>
      <c r="H40" s="391"/>
      <c r="I40" s="389"/>
      <c r="J40" s="391"/>
      <c r="K40" s="389">
        <f t="shared" si="1"/>
        <v>0</v>
      </c>
      <c r="L40" s="391"/>
      <c r="M40" s="10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</row>
    <row r="41" spans="1:163" s="15" customFormat="1" ht="20.25" hidden="1" customHeight="1">
      <c r="A41" s="2"/>
      <c r="B41" s="33" t="s">
        <v>44</v>
      </c>
      <c r="C41" s="34" t="e">
        <f>#REF!</f>
        <v>#REF!</v>
      </c>
      <c r="D41" s="31"/>
      <c r="E41" s="389"/>
      <c r="F41" s="391"/>
      <c r="G41" s="389"/>
      <c r="H41" s="391"/>
      <c r="I41" s="389"/>
      <c r="J41" s="391"/>
      <c r="K41" s="389">
        <f t="shared" si="1"/>
        <v>0</v>
      </c>
      <c r="L41" s="391"/>
      <c r="M41" s="10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</row>
    <row r="42" spans="1:163" s="15" customFormat="1" ht="20.25" hidden="1" customHeight="1">
      <c r="A42" s="2"/>
      <c r="B42" s="33" t="s">
        <v>45</v>
      </c>
      <c r="C42" s="34" t="e">
        <f>#REF!</f>
        <v>#REF!</v>
      </c>
      <c r="D42" s="31"/>
      <c r="E42" s="389"/>
      <c r="F42" s="391"/>
      <c r="G42" s="389"/>
      <c r="H42" s="391"/>
      <c r="I42" s="389"/>
      <c r="J42" s="391"/>
      <c r="K42" s="389">
        <f t="shared" si="1"/>
        <v>0</v>
      </c>
      <c r="L42" s="391"/>
      <c r="M42" s="10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</row>
    <row r="43" spans="1:163" s="15" customFormat="1" ht="20.25" hidden="1" customHeight="1">
      <c r="A43" s="2"/>
      <c r="B43" s="33" t="s">
        <v>46</v>
      </c>
      <c r="C43" s="34" t="e">
        <f>#REF!</f>
        <v>#REF!</v>
      </c>
      <c r="D43" s="31"/>
      <c r="E43" s="389"/>
      <c r="F43" s="391"/>
      <c r="G43" s="389"/>
      <c r="H43" s="391"/>
      <c r="I43" s="389"/>
      <c r="J43" s="391"/>
      <c r="K43" s="389">
        <f t="shared" si="1"/>
        <v>0</v>
      </c>
      <c r="L43" s="391"/>
      <c r="M43" s="10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</row>
    <row r="44" spans="1:163" s="15" customFormat="1" ht="20.25" customHeight="1">
      <c r="A44" s="2"/>
      <c r="B44" s="32" t="s">
        <v>33</v>
      </c>
      <c r="C44" s="34" t="s">
        <v>83</v>
      </c>
      <c r="D44" s="31"/>
      <c r="E44" s="389"/>
      <c r="F44" s="389">
        <f>SUM(E45:E62)</f>
        <v>2967914286</v>
      </c>
      <c r="G44" s="389"/>
      <c r="H44" s="389">
        <f>SUM(G45:G62)</f>
        <v>2893271978</v>
      </c>
      <c r="I44" s="389"/>
      <c r="J44" s="389"/>
      <c r="K44" s="389"/>
      <c r="L44" s="389">
        <f>SUM(K45:K62)</f>
        <v>2900971393</v>
      </c>
      <c r="M44" s="1017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</row>
    <row r="45" spans="1:163" s="15" customFormat="1" ht="20.25" customHeight="1">
      <c r="A45" s="2"/>
      <c r="B45" s="33" t="s">
        <v>25</v>
      </c>
      <c r="C45" s="34" t="str">
        <f>'BS(회사)'!D24</f>
        <v xml:space="preserve">      토              지</v>
      </c>
      <c r="D45" s="31"/>
      <c r="E45" s="389">
        <f>'BS(회사)'!F24</f>
        <v>2254457228</v>
      </c>
      <c r="F45" s="391"/>
      <c r="G45" s="389">
        <f>'BS(회사)'!C24</f>
        <v>2254457228</v>
      </c>
      <c r="H45" s="391"/>
      <c r="I45" s="389"/>
      <c r="J45" s="391"/>
      <c r="K45" s="389">
        <f t="shared" si="1"/>
        <v>2254457228</v>
      </c>
      <c r="L45" s="391"/>
      <c r="M45" s="10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</row>
    <row r="46" spans="1:163" s="15" customFormat="1" ht="20.25" customHeight="1">
      <c r="A46" s="2"/>
      <c r="B46" s="33" t="s">
        <v>34</v>
      </c>
      <c r="C46" s="34" t="str">
        <f>'BS(회사)'!D25</f>
        <v xml:space="preserve">      건              물</v>
      </c>
      <c r="D46" s="31"/>
      <c r="E46" s="389">
        <f>'BS(회사)'!E25</f>
        <v>950617551</v>
      </c>
      <c r="F46" s="391"/>
      <c r="G46" s="391">
        <f>'BS(회사)'!B25</f>
        <v>960075551</v>
      </c>
      <c r="H46" s="391"/>
      <c r="I46" s="391"/>
      <c r="J46" s="391">
        <f>'PA(R)JE'!I19</f>
        <v>1500000</v>
      </c>
      <c r="K46" s="391">
        <f t="shared" si="1"/>
        <v>958575551</v>
      </c>
      <c r="L46" s="391"/>
      <c r="M46" s="10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</row>
    <row r="47" spans="1:163" s="15" customFormat="1" ht="20.25" customHeight="1">
      <c r="A47" s="2"/>
      <c r="C47" s="34" t="str">
        <f>'BS(회사)'!D26</f>
        <v xml:space="preserve">      감가 상각 누 계 액(건물)</v>
      </c>
      <c r="D47" s="31"/>
      <c r="E47" s="389">
        <f>-'BS(회사)'!E26</f>
        <v>-264658339</v>
      </c>
      <c r="F47" s="391"/>
      <c r="G47" s="391">
        <f>-'BS(회사)'!B26</f>
        <v>-336740948</v>
      </c>
      <c r="H47" s="391"/>
      <c r="I47" s="391">
        <f>'PA(R)JE'!E17+'PA(R)JE'!E19</f>
        <v>9199082</v>
      </c>
      <c r="J47" s="391"/>
      <c r="K47" s="392">
        <f t="shared" si="1"/>
        <v>-327541866</v>
      </c>
      <c r="L47" s="391"/>
      <c r="M47" s="10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</row>
    <row r="48" spans="1:163" s="15" customFormat="1" ht="20.25" customHeight="1">
      <c r="A48" s="2"/>
      <c r="B48" s="33" t="s">
        <v>35</v>
      </c>
      <c r="C48" s="34" t="str">
        <f>'BS(회사)'!D27</f>
        <v xml:space="preserve">      비              품</v>
      </c>
      <c r="D48" s="31"/>
      <c r="E48" s="389">
        <f>'BS(회사)'!E27</f>
        <v>125902779</v>
      </c>
      <c r="F48" s="391"/>
      <c r="G48" s="391">
        <f>'BS(회사)'!B27</f>
        <v>126987379</v>
      </c>
      <c r="H48" s="391"/>
      <c r="I48" s="391"/>
      <c r="J48" s="391"/>
      <c r="K48" s="391">
        <f t="shared" si="1"/>
        <v>126987379</v>
      </c>
      <c r="L48" s="391"/>
      <c r="M48" s="10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</row>
    <row r="49" spans="1:163" s="15" customFormat="1" ht="20.25" customHeight="1">
      <c r="A49" s="2"/>
      <c r="C49" s="34" t="str">
        <f>'BS(회사)'!D28</f>
        <v xml:space="preserve">      감가 상각 누 계 액(비품)</v>
      </c>
      <c r="D49" s="31"/>
      <c r="E49" s="389">
        <f>-'BS(회사)'!E28</f>
        <v>-98404933</v>
      </c>
      <c r="F49" s="391"/>
      <c r="G49" s="391">
        <f>-'BS(회사)'!B28</f>
        <v>-111507232</v>
      </c>
      <c r="H49" s="391"/>
      <c r="I49" s="391">
        <f>+'PA(R)JE'!E22</f>
        <v>333</v>
      </c>
      <c r="J49" s="391"/>
      <c r="K49" s="392">
        <f t="shared" si="1"/>
        <v>-111506899</v>
      </c>
      <c r="L49" s="391"/>
      <c r="M49" s="10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</row>
    <row r="50" spans="1:163" s="15" customFormat="1" ht="20.25" hidden="1" customHeight="1">
      <c r="A50" s="2"/>
      <c r="B50" s="33" t="s">
        <v>36</v>
      </c>
      <c r="C50" s="34" t="e">
        <f>#REF!</f>
        <v>#REF!</v>
      </c>
      <c r="D50" s="31"/>
      <c r="E50" s="391"/>
      <c r="F50" s="391"/>
      <c r="G50" s="391"/>
      <c r="H50" s="391"/>
      <c r="I50" s="391"/>
      <c r="J50" s="391"/>
      <c r="K50" s="391">
        <f t="shared" si="1"/>
        <v>0</v>
      </c>
      <c r="L50" s="391"/>
      <c r="M50" s="10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</row>
    <row r="51" spans="1:163" s="15" customFormat="1" ht="20.25" hidden="1" customHeight="1">
      <c r="A51" s="2"/>
      <c r="C51" s="34" t="e">
        <f>#REF!</f>
        <v>#REF!</v>
      </c>
      <c r="D51" s="31"/>
      <c r="E51" s="392"/>
      <c r="F51" s="391"/>
      <c r="G51" s="392"/>
      <c r="H51" s="391"/>
      <c r="I51" s="391"/>
      <c r="J51" s="391"/>
      <c r="K51" s="392">
        <f t="shared" si="1"/>
        <v>0</v>
      </c>
      <c r="L51" s="391"/>
      <c r="M51" s="10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</row>
    <row r="52" spans="1:163" s="15" customFormat="1" ht="20.25" hidden="1" customHeight="1">
      <c r="A52" s="2"/>
      <c r="B52" s="33" t="s">
        <v>39</v>
      </c>
      <c r="C52" s="34" t="e">
        <f>#REF!</f>
        <v>#REF!</v>
      </c>
      <c r="D52" s="31"/>
      <c r="E52" s="391"/>
      <c r="F52" s="391"/>
      <c r="G52" s="391"/>
      <c r="H52" s="391"/>
      <c r="I52" s="391"/>
      <c r="J52" s="391"/>
      <c r="K52" s="391">
        <f t="shared" si="1"/>
        <v>0</v>
      </c>
      <c r="L52" s="391"/>
      <c r="M52" s="10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</row>
    <row r="53" spans="1:163" s="15" customFormat="1" ht="20.25" hidden="1" customHeight="1">
      <c r="A53" s="2"/>
      <c r="C53" s="34" t="e">
        <f>#REF!</f>
        <v>#REF!</v>
      </c>
      <c r="D53" s="31"/>
      <c r="E53" s="392"/>
      <c r="F53" s="391"/>
      <c r="G53" s="392"/>
      <c r="H53" s="391"/>
      <c r="I53" s="391"/>
      <c r="J53" s="391"/>
      <c r="K53" s="392">
        <f t="shared" si="1"/>
        <v>0</v>
      </c>
      <c r="L53" s="391"/>
      <c r="M53" s="10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</row>
    <row r="54" spans="1:163" s="15" customFormat="1" ht="20.25" hidden="1" customHeight="1">
      <c r="A54" s="2"/>
      <c r="B54" s="33" t="s">
        <v>84</v>
      </c>
      <c r="C54" s="34" t="e">
        <f>#REF!</f>
        <v>#REF!</v>
      </c>
      <c r="D54" s="31"/>
      <c r="E54" s="391"/>
      <c r="F54" s="391"/>
      <c r="G54" s="391"/>
      <c r="H54" s="391"/>
      <c r="I54" s="391"/>
      <c r="J54" s="391"/>
      <c r="K54" s="391">
        <f t="shared" si="1"/>
        <v>0</v>
      </c>
      <c r="L54" s="391"/>
      <c r="M54" s="10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</row>
    <row r="55" spans="1:163" s="15" customFormat="1" ht="20.25" hidden="1" customHeight="1">
      <c r="A55" s="2"/>
      <c r="C55" s="34" t="e">
        <f>#REF!</f>
        <v>#REF!</v>
      </c>
      <c r="D55" s="31"/>
      <c r="E55" s="392"/>
      <c r="F55" s="391"/>
      <c r="G55" s="392"/>
      <c r="H55" s="391"/>
      <c r="I55" s="391"/>
      <c r="J55" s="391"/>
      <c r="K55" s="392">
        <f t="shared" si="1"/>
        <v>0</v>
      </c>
      <c r="L55" s="391"/>
      <c r="M55" s="10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</row>
    <row r="56" spans="1:163" s="15" customFormat="1" ht="20.25" hidden="1" customHeight="1">
      <c r="A56" s="2"/>
      <c r="B56" s="33" t="s">
        <v>85</v>
      </c>
      <c r="C56" s="34" t="e">
        <f>#REF!</f>
        <v>#REF!</v>
      </c>
      <c r="D56" s="31"/>
      <c r="E56" s="391"/>
      <c r="F56" s="391"/>
      <c r="G56" s="391"/>
      <c r="H56" s="391"/>
      <c r="I56" s="391"/>
      <c r="J56" s="391"/>
      <c r="K56" s="391">
        <f t="shared" si="1"/>
        <v>0</v>
      </c>
      <c r="L56" s="391"/>
      <c r="M56" s="10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</row>
    <row r="57" spans="1:163" s="15" customFormat="1" ht="20.25" hidden="1" customHeight="1">
      <c r="A57" s="2"/>
      <c r="C57" s="34" t="e">
        <f>#REF!</f>
        <v>#REF!</v>
      </c>
      <c r="D57" s="31"/>
      <c r="E57" s="392"/>
      <c r="F57" s="391"/>
      <c r="G57" s="392"/>
      <c r="H57" s="391"/>
      <c r="I57" s="391"/>
      <c r="J57" s="391"/>
      <c r="K57" s="392">
        <f t="shared" si="1"/>
        <v>0</v>
      </c>
      <c r="L57" s="391"/>
      <c r="M57" s="10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</row>
    <row r="58" spans="1:163" s="15" customFormat="1" ht="20.25" hidden="1" customHeight="1">
      <c r="A58" s="2"/>
      <c r="B58" s="33" t="s">
        <v>86</v>
      </c>
      <c r="C58" s="34" t="e">
        <f>#REF!</f>
        <v>#REF!</v>
      </c>
      <c r="D58" s="31"/>
      <c r="E58" s="391"/>
      <c r="F58" s="391"/>
      <c r="G58" s="391"/>
      <c r="H58" s="391"/>
      <c r="I58" s="391"/>
      <c r="J58" s="391"/>
      <c r="K58" s="391">
        <f t="shared" si="1"/>
        <v>0</v>
      </c>
      <c r="L58" s="391"/>
      <c r="M58" s="10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</row>
    <row r="59" spans="1:163" s="15" customFormat="1" ht="20.25" hidden="1" customHeight="1">
      <c r="A59" s="2"/>
      <c r="C59" s="34" t="e">
        <f>#REF!</f>
        <v>#REF!</v>
      </c>
      <c r="D59" s="31"/>
      <c r="E59" s="392"/>
      <c r="F59" s="391"/>
      <c r="G59" s="392"/>
      <c r="H59" s="391"/>
      <c r="I59" s="391"/>
      <c r="J59" s="391"/>
      <c r="K59" s="392">
        <f t="shared" si="1"/>
        <v>0</v>
      </c>
      <c r="L59" s="391"/>
      <c r="M59" s="10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</row>
    <row r="60" spans="1:163" s="15" customFormat="1" ht="20.25" hidden="1" customHeight="1">
      <c r="A60" s="2"/>
      <c r="B60" s="33" t="s">
        <v>87</v>
      </c>
      <c r="C60" s="34" t="e">
        <f>#REF!</f>
        <v>#REF!</v>
      </c>
      <c r="D60" s="31"/>
      <c r="E60" s="391"/>
      <c r="F60" s="391"/>
      <c r="G60" s="391"/>
      <c r="H60" s="391"/>
      <c r="I60" s="391"/>
      <c r="J60" s="391"/>
      <c r="K60" s="391">
        <f t="shared" si="1"/>
        <v>0</v>
      </c>
      <c r="L60" s="391"/>
      <c r="M60" s="10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</row>
    <row r="61" spans="1:163" s="15" customFormat="1" ht="20.25" hidden="1" customHeight="1">
      <c r="A61" s="2"/>
      <c r="C61" s="34" t="e">
        <f>#REF!</f>
        <v>#REF!</v>
      </c>
      <c r="D61" s="31"/>
      <c r="E61" s="392"/>
      <c r="F61" s="391"/>
      <c r="G61" s="392"/>
      <c r="H61" s="391"/>
      <c r="I61" s="391"/>
      <c r="J61" s="391"/>
      <c r="K61" s="392">
        <f t="shared" si="1"/>
        <v>0</v>
      </c>
      <c r="L61" s="391"/>
      <c r="M61" s="10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</row>
    <row r="62" spans="1:163" s="15" customFormat="1" ht="20.25" hidden="1" customHeight="1">
      <c r="A62" s="2"/>
      <c r="B62" s="33" t="s">
        <v>88</v>
      </c>
      <c r="C62" s="34" t="e">
        <f>#REF!</f>
        <v>#REF!</v>
      </c>
      <c r="D62" s="31"/>
      <c r="E62" s="391"/>
      <c r="F62" s="391"/>
      <c r="G62" s="391"/>
      <c r="H62" s="391"/>
      <c r="I62" s="391"/>
      <c r="J62" s="391"/>
      <c r="K62" s="391">
        <f t="shared" si="1"/>
        <v>0</v>
      </c>
      <c r="L62" s="391"/>
      <c r="M62" s="10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</row>
    <row r="63" spans="1:163" s="15" customFormat="1" ht="20.25" customHeight="1">
      <c r="A63" s="2"/>
      <c r="B63" s="32" t="s">
        <v>89</v>
      </c>
      <c r="C63" s="34" t="s">
        <v>90</v>
      </c>
      <c r="D63" s="31"/>
      <c r="E63" s="389"/>
      <c r="F63" s="389">
        <f>SUM(E64:E67)</f>
        <v>0</v>
      </c>
      <c r="G63" s="389"/>
      <c r="H63" s="389">
        <f>SUM(G64:G67)</f>
        <v>0</v>
      </c>
      <c r="I63" s="389"/>
      <c r="J63" s="389"/>
      <c r="K63" s="389"/>
      <c r="L63" s="389">
        <f>SUM(K64:K67)</f>
        <v>0</v>
      </c>
      <c r="M63" s="1017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</row>
    <row r="64" spans="1:163" s="15" customFormat="1" ht="20.25" hidden="1" customHeight="1">
      <c r="A64" s="2"/>
      <c r="B64" s="33" t="s">
        <v>25</v>
      </c>
      <c r="C64" s="34" t="e">
        <f>#REF!</f>
        <v>#REF!</v>
      </c>
      <c r="D64" s="31"/>
      <c r="E64" s="389"/>
      <c r="F64" s="391"/>
      <c r="G64" s="389"/>
      <c r="H64" s="391"/>
      <c r="I64" s="389"/>
      <c r="J64" s="391"/>
      <c r="K64" s="389">
        <f>G64+I64-J64</f>
        <v>0</v>
      </c>
      <c r="L64" s="391"/>
      <c r="M64" s="10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</row>
    <row r="65" spans="1:163" s="15" customFormat="1" ht="20.25" hidden="1" customHeight="1">
      <c r="A65" s="2"/>
      <c r="B65" s="33" t="s">
        <v>34</v>
      </c>
      <c r="C65" s="34"/>
      <c r="D65" s="31"/>
      <c r="E65" s="389"/>
      <c r="F65" s="391"/>
      <c r="G65" s="389"/>
      <c r="H65" s="391"/>
      <c r="I65" s="389"/>
      <c r="J65" s="391"/>
      <c r="K65" s="389">
        <f t="shared" ref="K65:K67" si="2">G65+I65-J65</f>
        <v>0</v>
      </c>
      <c r="L65" s="391"/>
      <c r="M65" s="10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</row>
    <row r="66" spans="1:163" s="15" customFormat="1" ht="20.25" hidden="1" customHeight="1">
      <c r="A66" s="2"/>
      <c r="B66" s="33" t="s">
        <v>35</v>
      </c>
      <c r="C66" s="34"/>
      <c r="D66" s="31"/>
      <c r="E66" s="389"/>
      <c r="F66" s="391"/>
      <c r="G66" s="389"/>
      <c r="H66" s="391"/>
      <c r="I66" s="389"/>
      <c r="J66" s="391"/>
      <c r="K66" s="389">
        <f t="shared" si="2"/>
        <v>0</v>
      </c>
      <c r="L66" s="391"/>
      <c r="M66" s="10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</row>
    <row r="67" spans="1:163" s="15" customFormat="1" ht="20.25" hidden="1" customHeight="1">
      <c r="A67" s="2"/>
      <c r="B67" s="33" t="s">
        <v>36</v>
      </c>
      <c r="C67" s="34"/>
      <c r="D67" s="31"/>
      <c r="E67" s="389"/>
      <c r="F67" s="391"/>
      <c r="G67" s="389"/>
      <c r="H67" s="391"/>
      <c r="I67" s="389"/>
      <c r="J67" s="391"/>
      <c r="K67" s="389">
        <f t="shared" si="2"/>
        <v>0</v>
      </c>
      <c r="L67" s="391"/>
      <c r="M67" s="10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</row>
    <row r="68" spans="1:163" s="15" customFormat="1" ht="20.25" customHeight="1">
      <c r="A68" s="2"/>
      <c r="B68" s="32" t="s">
        <v>382</v>
      </c>
      <c r="C68" s="34" t="s">
        <v>91</v>
      </c>
      <c r="D68" s="31"/>
      <c r="E68" s="389"/>
      <c r="F68" s="389">
        <f>SUM(E69:E74)</f>
        <v>700000</v>
      </c>
      <c r="G68" s="389"/>
      <c r="H68" s="389">
        <f>SUM(G69:G74)</f>
        <v>700000</v>
      </c>
      <c r="I68" s="389"/>
      <c r="J68" s="389"/>
      <c r="K68" s="389"/>
      <c r="L68" s="389">
        <f>SUM(K69:K74)</f>
        <v>700000</v>
      </c>
      <c r="M68" s="1017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</row>
    <row r="69" spans="1:163" s="15" customFormat="1" ht="20.25" customHeight="1">
      <c r="A69" s="2"/>
      <c r="B69" s="33" t="s">
        <v>25</v>
      </c>
      <c r="C69" s="34" t="str">
        <f>'BS(회사)'!D31</f>
        <v xml:space="preserve">      전신 전화 가 입 권</v>
      </c>
      <c r="D69" s="31"/>
      <c r="E69" s="389">
        <f>'BS(회사)'!F31</f>
        <v>700000</v>
      </c>
      <c r="F69" s="391"/>
      <c r="G69" s="389">
        <f>'BS(회사)'!C31</f>
        <v>700000</v>
      </c>
      <c r="H69" s="391"/>
      <c r="I69" s="389"/>
      <c r="J69" s="391"/>
      <c r="K69" s="389">
        <f>G69+I69-J69</f>
        <v>700000</v>
      </c>
      <c r="L69" s="391"/>
      <c r="M69" s="10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</row>
    <row r="70" spans="1:163" s="15" customFormat="1" ht="20.25" hidden="1" customHeight="1">
      <c r="A70" s="2"/>
      <c r="B70" s="33" t="s">
        <v>34</v>
      </c>
      <c r="C70" s="34"/>
      <c r="D70" s="31"/>
      <c r="E70" s="389"/>
      <c r="F70" s="391"/>
      <c r="G70" s="389"/>
      <c r="H70" s="391"/>
      <c r="I70" s="389"/>
      <c r="J70" s="391"/>
      <c r="K70" s="389">
        <f t="shared" ref="K70:K74" si="3">G70+I70-J70</f>
        <v>0</v>
      </c>
      <c r="L70" s="391"/>
      <c r="M70" s="10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</row>
    <row r="71" spans="1:163" s="15" customFormat="1" ht="20.25" hidden="1" customHeight="1">
      <c r="A71" s="2"/>
      <c r="B71" s="33" t="s">
        <v>35</v>
      </c>
      <c r="C71" s="34"/>
      <c r="D71" s="31"/>
      <c r="E71" s="389"/>
      <c r="F71" s="391"/>
      <c r="G71" s="389"/>
      <c r="H71" s="391"/>
      <c r="I71" s="389"/>
      <c r="J71" s="391"/>
      <c r="K71" s="389">
        <f t="shared" si="3"/>
        <v>0</v>
      </c>
      <c r="L71" s="391"/>
      <c r="M71" s="10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</row>
    <row r="72" spans="1:163" s="15" customFormat="1" ht="20.25" hidden="1" customHeight="1">
      <c r="A72" s="2"/>
      <c r="B72" s="33" t="s">
        <v>36</v>
      </c>
      <c r="C72" s="34"/>
      <c r="D72" s="31"/>
      <c r="E72" s="389"/>
      <c r="F72" s="391"/>
      <c r="G72" s="389"/>
      <c r="H72" s="391"/>
      <c r="I72" s="389"/>
      <c r="J72" s="391"/>
      <c r="K72" s="389">
        <f t="shared" si="3"/>
        <v>0</v>
      </c>
      <c r="L72" s="391"/>
      <c r="M72" s="10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</row>
    <row r="73" spans="1:163" s="15" customFormat="1" ht="20.25" hidden="1" customHeight="1">
      <c r="A73" s="2"/>
      <c r="B73" s="33" t="s">
        <v>39</v>
      </c>
      <c r="C73" s="34"/>
      <c r="D73" s="31"/>
      <c r="E73" s="389"/>
      <c r="F73" s="391"/>
      <c r="G73" s="389"/>
      <c r="H73" s="391"/>
      <c r="I73" s="389"/>
      <c r="J73" s="391"/>
      <c r="K73" s="389">
        <f t="shared" si="3"/>
        <v>0</v>
      </c>
      <c r="L73" s="391"/>
      <c r="M73" s="10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</row>
    <row r="74" spans="1:163" s="15" customFormat="1" ht="20.25" hidden="1" customHeight="1">
      <c r="A74" s="2"/>
      <c r="B74" s="33" t="s">
        <v>43</v>
      </c>
      <c r="C74" s="34"/>
      <c r="D74" s="31"/>
      <c r="E74" s="389"/>
      <c r="F74" s="391"/>
      <c r="G74" s="389"/>
      <c r="H74" s="391"/>
      <c r="I74" s="389"/>
      <c r="J74" s="391"/>
      <c r="K74" s="389">
        <f t="shared" si="3"/>
        <v>0</v>
      </c>
      <c r="L74" s="391"/>
      <c r="M74" s="10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</row>
    <row r="75" spans="1:163" s="15" customFormat="1" ht="20.25" customHeight="1" thickBot="1">
      <c r="A75" s="35"/>
      <c r="B75" s="36" t="s">
        <v>92</v>
      </c>
      <c r="C75" s="37"/>
      <c r="D75" s="38"/>
      <c r="E75" s="394"/>
      <c r="F75" s="394">
        <f>SUM(F33,F10)</f>
        <v>10428923726</v>
      </c>
      <c r="G75" s="394"/>
      <c r="H75" s="394">
        <f>SUM(H33,H10)</f>
        <v>10048033970</v>
      </c>
      <c r="I75" s="394"/>
      <c r="J75" s="394"/>
      <c r="K75" s="394"/>
      <c r="L75" s="394">
        <f>SUM(L33,L10)</f>
        <v>10069361511</v>
      </c>
      <c r="M75" s="1017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</row>
    <row r="76" spans="1:163" s="15" customFormat="1" ht="21" customHeight="1">
      <c r="A76" s="28"/>
      <c r="B76" s="39" t="s">
        <v>93</v>
      </c>
      <c r="C76" s="10"/>
      <c r="D76" s="31"/>
      <c r="E76" s="389"/>
      <c r="F76" s="389"/>
      <c r="G76" s="389"/>
      <c r="H76" s="389"/>
      <c r="I76" s="389"/>
      <c r="J76" s="389"/>
      <c r="K76" s="389"/>
      <c r="L76" s="389"/>
      <c r="M76" s="1017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</row>
    <row r="77" spans="1:163" s="15" customFormat="1" ht="21" customHeight="1">
      <c r="A77" s="2" t="s">
        <v>22</v>
      </c>
      <c r="B77" s="29" t="s">
        <v>7</v>
      </c>
      <c r="C77" s="18"/>
      <c r="D77" s="31"/>
      <c r="E77" s="389"/>
      <c r="F77" s="389">
        <f>SUM(E78:E88)</f>
        <v>781863487</v>
      </c>
      <c r="G77" s="389"/>
      <c r="H77" s="389">
        <f>SUM(G78:G88)</f>
        <v>447041572</v>
      </c>
      <c r="I77" s="389"/>
      <c r="J77" s="389"/>
      <c r="K77" s="389"/>
      <c r="L77" s="389">
        <f>SUM(K78:K88)</f>
        <v>447041572</v>
      </c>
      <c r="M77" s="1017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</row>
    <row r="78" spans="1:163" s="15" customFormat="1" ht="21" customHeight="1">
      <c r="A78" s="2"/>
      <c r="B78" s="33" t="s">
        <v>25</v>
      </c>
      <c r="C78" s="39" t="str">
        <f>'BS(회사)'!D35</f>
        <v xml:space="preserve">      미   지    급   금</v>
      </c>
      <c r="D78" s="31"/>
      <c r="E78" s="389">
        <f>'BS(회사)'!F35</f>
        <v>25168990</v>
      </c>
      <c r="F78" s="391"/>
      <c r="G78" s="389">
        <f>'BS(회사)'!C35</f>
        <v>39348586</v>
      </c>
      <c r="H78" s="391"/>
      <c r="I78" s="389"/>
      <c r="J78" s="391"/>
      <c r="K78" s="389">
        <f>G78-I78+J78</f>
        <v>39348586</v>
      </c>
      <c r="L78" s="391"/>
      <c r="M78" s="10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</row>
    <row r="79" spans="1:163" s="15" customFormat="1" ht="21" customHeight="1">
      <c r="A79" s="2"/>
      <c r="B79" s="33" t="s">
        <v>34</v>
      </c>
      <c r="C79" s="39" t="str">
        <f>'BS(회사)'!D36</f>
        <v xml:space="preserve">      예      수      금</v>
      </c>
      <c r="D79" s="31"/>
      <c r="E79" s="389">
        <f>'BS(회사)'!F36</f>
        <v>3177820</v>
      </c>
      <c r="F79" s="391"/>
      <c r="G79" s="389">
        <f>'BS(회사)'!C36</f>
        <v>1799770</v>
      </c>
      <c r="H79" s="391"/>
      <c r="I79" s="389"/>
      <c r="J79" s="391"/>
      <c r="K79" s="389">
        <f t="shared" ref="K79:K94" si="4">G79-I79+J79</f>
        <v>1799770</v>
      </c>
      <c r="L79" s="391"/>
      <c r="M79" s="10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</row>
    <row r="80" spans="1:163" s="15" customFormat="1" ht="21" customHeight="1">
      <c r="A80" s="2"/>
      <c r="B80" s="33" t="s">
        <v>35</v>
      </c>
      <c r="C80" s="39" t="str">
        <f>'BS(회사)'!D37</f>
        <v xml:space="preserve">      선      수      금</v>
      </c>
      <c r="D80" s="31"/>
      <c r="E80" s="389">
        <f>'BS(회사)'!F37</f>
        <v>753516677</v>
      </c>
      <c r="F80" s="391"/>
      <c r="G80" s="389">
        <f>'BS(회사)'!C37</f>
        <v>405893216</v>
      </c>
      <c r="H80" s="391"/>
      <c r="I80" s="389"/>
      <c r="J80" s="391"/>
      <c r="K80" s="389">
        <f t="shared" si="4"/>
        <v>405893216</v>
      </c>
      <c r="L80" s="391"/>
      <c r="M80" s="10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</row>
    <row r="81" spans="1:163" s="15" customFormat="1" ht="21" hidden="1" customHeight="1">
      <c r="A81" s="2"/>
      <c r="B81" s="33" t="s">
        <v>36</v>
      </c>
      <c r="C81" s="39" t="e">
        <f>#REF!</f>
        <v>#REF!</v>
      </c>
      <c r="D81" s="31"/>
      <c r="E81" s="389"/>
      <c r="F81" s="391"/>
      <c r="G81" s="389"/>
      <c r="H81" s="391"/>
      <c r="I81" s="389"/>
      <c r="J81" s="391"/>
      <c r="K81" s="389">
        <f t="shared" si="4"/>
        <v>0</v>
      </c>
      <c r="L81" s="391"/>
      <c r="M81" s="10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</row>
    <row r="82" spans="1:163" s="15" customFormat="1" ht="21" hidden="1" customHeight="1">
      <c r="A82" s="2"/>
      <c r="B82" s="33" t="s">
        <v>39</v>
      </c>
      <c r="C82" s="39" t="e">
        <f>#REF!</f>
        <v>#REF!</v>
      </c>
      <c r="D82" s="31"/>
      <c r="E82" s="389"/>
      <c r="F82" s="391"/>
      <c r="G82" s="389"/>
      <c r="H82" s="391"/>
      <c r="I82" s="389"/>
      <c r="J82" s="391"/>
      <c r="K82" s="389">
        <f t="shared" si="4"/>
        <v>0</v>
      </c>
      <c r="L82" s="391"/>
      <c r="M82" s="10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</row>
    <row r="83" spans="1:163" s="15" customFormat="1" ht="21" hidden="1" customHeight="1">
      <c r="A83" s="2"/>
      <c r="B83" s="33" t="s">
        <v>43</v>
      </c>
      <c r="C83" s="39" t="e">
        <f>#REF!</f>
        <v>#REF!</v>
      </c>
      <c r="D83" s="31"/>
      <c r="E83" s="389"/>
      <c r="F83" s="391"/>
      <c r="G83" s="389"/>
      <c r="H83" s="391"/>
      <c r="I83" s="389"/>
      <c r="J83" s="391"/>
      <c r="K83" s="389">
        <f t="shared" si="4"/>
        <v>0</v>
      </c>
      <c r="L83" s="391"/>
      <c r="M83" s="10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</row>
    <row r="84" spans="1:163" s="15" customFormat="1" ht="21" hidden="1" customHeight="1">
      <c r="A84" s="2"/>
      <c r="B84" s="33" t="s">
        <v>44</v>
      </c>
      <c r="C84" s="39" t="e">
        <f>#REF!</f>
        <v>#REF!</v>
      </c>
      <c r="D84" s="31"/>
      <c r="E84" s="389"/>
      <c r="F84" s="391"/>
      <c r="G84" s="389"/>
      <c r="H84" s="391"/>
      <c r="I84" s="389"/>
      <c r="J84" s="391"/>
      <c r="K84" s="389">
        <f t="shared" si="4"/>
        <v>0</v>
      </c>
      <c r="L84" s="391"/>
      <c r="M84" s="10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</row>
    <row r="85" spans="1:163" s="15" customFormat="1" ht="21" hidden="1" customHeight="1">
      <c r="A85" s="2"/>
      <c r="B85" s="33" t="s">
        <v>45</v>
      </c>
      <c r="C85" s="39" t="e">
        <f>#REF!</f>
        <v>#REF!</v>
      </c>
      <c r="D85" s="31"/>
      <c r="E85" s="389"/>
      <c r="F85" s="391"/>
      <c r="G85" s="389"/>
      <c r="H85" s="391"/>
      <c r="I85" s="389"/>
      <c r="J85" s="391"/>
      <c r="K85" s="389">
        <f t="shared" si="4"/>
        <v>0</v>
      </c>
      <c r="L85" s="391"/>
      <c r="M85" s="10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</row>
    <row r="86" spans="1:163" s="15" customFormat="1" ht="21" hidden="1" customHeight="1">
      <c r="A86" s="2"/>
      <c r="B86" s="33" t="s">
        <v>46</v>
      </c>
      <c r="C86" s="39" t="e">
        <f>#REF!</f>
        <v>#REF!</v>
      </c>
      <c r="D86" s="31"/>
      <c r="E86" s="389"/>
      <c r="F86" s="391"/>
      <c r="G86" s="389"/>
      <c r="H86" s="391"/>
      <c r="I86" s="389"/>
      <c r="J86" s="391"/>
      <c r="K86" s="389">
        <f t="shared" si="4"/>
        <v>0</v>
      </c>
      <c r="L86" s="391"/>
      <c r="M86" s="10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</row>
    <row r="87" spans="1:163" s="15" customFormat="1" ht="21" hidden="1" customHeight="1">
      <c r="A87" s="2"/>
      <c r="B87" s="33" t="s">
        <v>41</v>
      </c>
      <c r="C87" s="39" t="e">
        <f>#REF!</f>
        <v>#REF!</v>
      </c>
      <c r="D87" s="31"/>
      <c r="E87" s="389"/>
      <c r="F87" s="391"/>
      <c r="G87" s="389"/>
      <c r="H87" s="391"/>
      <c r="I87" s="389"/>
      <c r="J87" s="391"/>
      <c r="K87" s="389">
        <f t="shared" si="4"/>
        <v>0</v>
      </c>
      <c r="L87" s="391"/>
      <c r="M87" s="10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</row>
    <row r="88" spans="1:163" s="15" customFormat="1" ht="21" hidden="1" customHeight="1">
      <c r="A88" s="2"/>
      <c r="B88" s="33" t="s">
        <v>53</v>
      </c>
      <c r="C88" s="39" t="e">
        <f>#REF!</f>
        <v>#REF!</v>
      </c>
      <c r="D88" s="31"/>
      <c r="E88" s="389"/>
      <c r="F88" s="391"/>
      <c r="G88" s="389"/>
      <c r="H88" s="391"/>
      <c r="I88" s="389"/>
      <c r="J88" s="391"/>
      <c r="K88" s="389">
        <f t="shared" si="4"/>
        <v>0</v>
      </c>
      <c r="L88" s="391"/>
      <c r="M88" s="10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</row>
    <row r="89" spans="1:163" s="15" customFormat="1" ht="21" customHeight="1">
      <c r="A89" s="2" t="s">
        <v>37</v>
      </c>
      <c r="B89" s="29" t="s">
        <v>94</v>
      </c>
      <c r="C89" s="12"/>
      <c r="D89" s="31"/>
      <c r="E89" s="389"/>
      <c r="F89" s="389">
        <f>SUM(E90:E94)</f>
        <v>680407527</v>
      </c>
      <c r="G89" s="389"/>
      <c r="H89" s="389">
        <f>SUM(G90:G94)</f>
        <v>801727937</v>
      </c>
      <c r="I89" s="389"/>
      <c r="J89" s="389"/>
      <c r="K89" s="389"/>
      <c r="L89" s="389">
        <f>SUM(K90:K94)</f>
        <v>801727937</v>
      </c>
      <c r="M89" s="1017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</row>
    <row r="90" spans="1:163" s="15" customFormat="1" ht="21" customHeight="1">
      <c r="A90" s="2"/>
      <c r="B90" s="33" t="s">
        <v>25</v>
      </c>
      <c r="C90" s="39" t="str">
        <f>'BS(회사)'!D39</f>
        <v xml:space="preserve">      사업위탁금</v>
      </c>
      <c r="D90" s="31"/>
      <c r="E90" s="389">
        <f>'BS(회사)'!F39</f>
        <v>445008127</v>
      </c>
      <c r="F90" s="391"/>
      <c r="G90" s="389">
        <f>'BS(회사)'!C39</f>
        <v>556760257</v>
      </c>
      <c r="H90" s="391"/>
      <c r="I90" s="389"/>
      <c r="J90" s="391"/>
      <c r="K90" s="389">
        <f t="shared" si="4"/>
        <v>556760257</v>
      </c>
      <c r="L90" s="391"/>
      <c r="M90" s="10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</row>
    <row r="91" spans="1:163" s="15" customFormat="1" ht="21" customHeight="1">
      <c r="A91" s="2"/>
      <c r="B91" s="33" t="s">
        <v>34</v>
      </c>
      <c r="C91" s="39" t="str">
        <f>'BS(회사)'!D40</f>
        <v xml:space="preserve">      임  대  보  증  금</v>
      </c>
      <c r="D91" s="31"/>
      <c r="E91" s="389">
        <f>'BS(회사)'!F40</f>
        <v>160000000</v>
      </c>
      <c r="F91" s="391"/>
      <c r="G91" s="389">
        <f>'BS(회사)'!C40</f>
        <v>160000000</v>
      </c>
      <c r="H91" s="391"/>
      <c r="I91" s="389"/>
      <c r="J91" s="391"/>
      <c r="K91" s="389">
        <f t="shared" si="4"/>
        <v>160000000</v>
      </c>
      <c r="L91" s="391"/>
      <c r="M91" s="10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</row>
    <row r="92" spans="1:163" s="15" customFormat="1" ht="21" customHeight="1">
      <c r="A92" s="2"/>
      <c r="B92" s="33" t="s">
        <v>35</v>
      </c>
      <c r="C92" s="39" t="str">
        <f>'BS(회사)'!D41</f>
        <v xml:space="preserve">      퇴직 급여 충 당 금</v>
      </c>
      <c r="D92" s="31"/>
      <c r="E92" s="389">
        <f>'BS(회사)'!F41</f>
        <v>75399400</v>
      </c>
      <c r="F92" s="389"/>
      <c r="G92" s="389">
        <f>'BS(회사)'!C41</f>
        <v>84967680</v>
      </c>
      <c r="H92" s="391"/>
      <c r="I92" s="389"/>
      <c r="J92" s="391"/>
      <c r="K92" s="389">
        <f t="shared" si="4"/>
        <v>84967680</v>
      </c>
      <c r="L92" s="391"/>
      <c r="M92" s="10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</row>
    <row r="93" spans="1:163" s="15" customFormat="1" ht="21" hidden="1" customHeight="1">
      <c r="A93" s="2"/>
      <c r="B93" s="33" t="s">
        <v>36</v>
      </c>
      <c r="C93" s="39" t="e">
        <f>#REF!</f>
        <v>#REF!</v>
      </c>
      <c r="D93" s="31"/>
      <c r="E93" s="391"/>
      <c r="F93" s="389"/>
      <c r="G93" s="391"/>
      <c r="H93" s="391"/>
      <c r="I93" s="389"/>
      <c r="J93" s="391"/>
      <c r="K93" s="391">
        <f t="shared" si="4"/>
        <v>0</v>
      </c>
      <c r="L93" s="391"/>
      <c r="M93" s="10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</row>
    <row r="94" spans="1:163" s="15" customFormat="1" ht="21" hidden="1" customHeight="1">
      <c r="A94" s="2"/>
      <c r="B94" s="33" t="s">
        <v>39</v>
      </c>
      <c r="C94" s="39" t="e">
        <f>#REF!</f>
        <v>#REF!</v>
      </c>
      <c r="D94" s="31"/>
      <c r="E94" s="391"/>
      <c r="F94" s="391">
        <f>SUM(E92,-E93,-E94)</f>
        <v>75399400</v>
      </c>
      <c r="G94" s="391"/>
      <c r="H94" s="391">
        <f>SUM(G92,-G93,-G94)</f>
        <v>84967680</v>
      </c>
      <c r="I94" s="389"/>
      <c r="J94" s="391"/>
      <c r="K94" s="392">
        <f t="shared" si="4"/>
        <v>0</v>
      </c>
      <c r="L94" s="391"/>
      <c r="M94" s="10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</row>
    <row r="95" spans="1:163" s="15" customFormat="1" ht="21" customHeight="1">
      <c r="A95" s="2"/>
      <c r="B95" s="29" t="s">
        <v>95</v>
      </c>
      <c r="C95" s="18"/>
      <c r="D95" s="31"/>
      <c r="E95" s="395"/>
      <c r="F95" s="396">
        <f>SUM(F89,F77)</f>
        <v>1462271014</v>
      </c>
      <c r="G95" s="395"/>
      <c r="H95" s="396">
        <f>SUM(H89,H77)</f>
        <v>1248769509</v>
      </c>
      <c r="I95" s="395"/>
      <c r="J95" s="391"/>
      <c r="K95" s="395"/>
      <c r="L95" s="396">
        <f>SUM(L89,L77)</f>
        <v>1248769509</v>
      </c>
      <c r="M95" s="10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</row>
    <row r="96" spans="1:163" s="15" customFormat="1" ht="21" customHeight="1">
      <c r="A96" s="2"/>
      <c r="B96" s="12"/>
      <c r="C96" s="18"/>
      <c r="D96" s="31"/>
      <c r="E96" s="395"/>
      <c r="F96" s="389"/>
      <c r="G96" s="395"/>
      <c r="H96" s="389"/>
      <c r="I96" s="395"/>
      <c r="J96" s="389"/>
      <c r="K96" s="395"/>
      <c r="L96" s="389"/>
      <c r="M96" s="1017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</row>
    <row r="97" spans="1:163" s="15" customFormat="1" ht="21" customHeight="1">
      <c r="A97" s="40"/>
      <c r="B97" s="39" t="s">
        <v>96</v>
      </c>
      <c r="C97" s="18"/>
      <c r="D97" s="31"/>
      <c r="E97" s="389"/>
      <c r="F97" s="389"/>
      <c r="G97" s="389"/>
      <c r="H97" s="389"/>
      <c r="I97" s="389"/>
      <c r="J97" s="389"/>
      <c r="K97" s="389"/>
      <c r="L97" s="389"/>
      <c r="M97" s="1017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</row>
    <row r="98" spans="1:163" s="15" customFormat="1" ht="21" customHeight="1">
      <c r="A98" s="2" t="s">
        <v>22</v>
      </c>
      <c r="B98" s="29" t="s">
        <v>720</v>
      </c>
      <c r="C98" s="18"/>
      <c r="D98" s="31"/>
      <c r="E98" s="389"/>
      <c r="F98" s="389">
        <f>SUM(E99)</f>
        <v>8253627122</v>
      </c>
      <c r="G98" s="389"/>
      <c r="H98" s="389">
        <f>SUM(G99)</f>
        <v>8383708189</v>
      </c>
      <c r="I98" s="389"/>
      <c r="J98" s="389"/>
      <c r="K98" s="389"/>
      <c r="L98" s="389">
        <f>SUM(K99)</f>
        <v>8383381189</v>
      </c>
      <c r="M98" s="1017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</row>
    <row r="99" spans="1:163" s="15" customFormat="1" ht="21.75" customHeight="1">
      <c r="A99" s="2"/>
      <c r="B99" s="33" t="s">
        <v>25</v>
      </c>
      <c r="C99" s="34" t="str">
        <f>'BS(회사)'!D45</f>
        <v xml:space="preserve">      출연금</v>
      </c>
      <c r="D99" s="31"/>
      <c r="E99" s="389">
        <f>'BS(회사)'!F45</f>
        <v>8253627122</v>
      </c>
      <c r="F99" s="391"/>
      <c r="G99" s="389">
        <f>'BS(회사)'!C45</f>
        <v>8383708189</v>
      </c>
      <c r="H99" s="391"/>
      <c r="I99" s="389">
        <f>'PA(R)JE'!E15</f>
        <v>327000</v>
      </c>
      <c r="J99" s="391"/>
      <c r="K99" s="389">
        <f t="shared" ref="K99" si="5">G99-I99+J99</f>
        <v>8383381189</v>
      </c>
      <c r="L99" s="391"/>
      <c r="M99" s="10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</row>
    <row r="100" spans="1:163" s="27" customFormat="1" ht="21" customHeight="1">
      <c r="A100" s="2" t="s">
        <v>37</v>
      </c>
      <c r="B100" s="29" t="s">
        <v>97</v>
      </c>
      <c r="C100" s="10"/>
      <c r="D100" s="31"/>
      <c r="E100" s="395"/>
      <c r="F100" s="389">
        <f>SUM(E101)</f>
        <v>0</v>
      </c>
      <c r="G100" s="395"/>
      <c r="H100" s="389">
        <f>SUM(G101)</f>
        <v>0</v>
      </c>
      <c r="I100" s="395"/>
      <c r="J100" s="389"/>
      <c r="K100" s="395"/>
      <c r="L100" s="389">
        <f>SUM(K101)</f>
        <v>0</v>
      </c>
      <c r="M100" s="1017"/>
    </row>
    <row r="101" spans="1:163" s="15" customFormat="1" ht="21.95" hidden="1" customHeight="1">
      <c r="A101" s="2"/>
      <c r="B101" s="33" t="s">
        <v>25</v>
      </c>
      <c r="C101" s="34" t="e">
        <f>#REF!</f>
        <v>#REF!</v>
      </c>
      <c r="D101" s="31"/>
      <c r="E101" s="389"/>
      <c r="F101" s="391"/>
      <c r="G101" s="389"/>
      <c r="H101" s="391"/>
      <c r="I101" s="389"/>
      <c r="J101" s="391"/>
      <c r="K101" s="389">
        <f t="shared" ref="K101" si="6">G101-I101+J101</f>
        <v>0</v>
      </c>
      <c r="L101" s="391"/>
      <c r="M101" s="10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</row>
    <row r="102" spans="1:163" s="15" customFormat="1" ht="21" customHeight="1">
      <c r="A102" s="2" t="s">
        <v>47</v>
      </c>
      <c r="B102" s="29" t="s">
        <v>98</v>
      </c>
      <c r="C102" s="32"/>
      <c r="D102" s="31"/>
      <c r="E102" s="397"/>
      <c r="F102" s="389">
        <f>SUM(E103:E104)</f>
        <v>0</v>
      </c>
      <c r="G102" s="397"/>
      <c r="H102" s="389">
        <f>SUM(G103:G104)</f>
        <v>0</v>
      </c>
      <c r="I102" s="397"/>
      <c r="J102" s="389"/>
      <c r="K102" s="397"/>
      <c r="L102" s="389">
        <f>SUM(K103:K104)</f>
        <v>0</v>
      </c>
      <c r="M102" s="1017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</row>
    <row r="103" spans="1:163" s="15" customFormat="1" ht="21" hidden="1" customHeight="1">
      <c r="B103" s="33" t="s">
        <v>25</v>
      </c>
      <c r="C103" s="34" t="e">
        <f>#REF!</f>
        <v>#REF!</v>
      </c>
      <c r="D103" s="31"/>
      <c r="E103" s="397"/>
      <c r="F103" s="391"/>
      <c r="G103" s="389"/>
      <c r="H103" s="391"/>
      <c r="I103" s="397"/>
      <c r="J103" s="391"/>
      <c r="K103" s="397">
        <f t="shared" ref="K103:K115" si="7">G103-I103+J103</f>
        <v>0</v>
      </c>
      <c r="L103" s="391"/>
      <c r="M103" s="10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</row>
    <row r="104" spans="1:163" s="15" customFormat="1" ht="21" hidden="1" customHeight="1">
      <c r="B104" s="33" t="s">
        <v>34</v>
      </c>
      <c r="C104" s="34" t="e">
        <f>#REF!</f>
        <v>#REF!</v>
      </c>
      <c r="D104" s="31"/>
      <c r="E104" s="397"/>
      <c r="F104" s="391"/>
      <c r="G104" s="389"/>
      <c r="H104" s="391"/>
      <c r="I104" s="397"/>
      <c r="J104" s="391"/>
      <c r="K104" s="397">
        <f t="shared" si="7"/>
        <v>0</v>
      </c>
      <c r="L104" s="391"/>
      <c r="M104" s="10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</row>
    <row r="105" spans="1:163" s="15" customFormat="1" ht="21" customHeight="1">
      <c r="A105" s="2" t="s">
        <v>99</v>
      </c>
      <c r="B105" s="29" t="s">
        <v>100</v>
      </c>
      <c r="C105" s="32"/>
      <c r="D105" s="31"/>
      <c r="E105" s="397"/>
      <c r="F105" s="389">
        <f>SUM(E106:E107)</f>
        <v>7224054</v>
      </c>
      <c r="G105" s="397"/>
      <c r="H105" s="389">
        <f>SUM(G106:G107)</f>
        <v>11470578</v>
      </c>
      <c r="I105" s="397"/>
      <c r="J105" s="391"/>
      <c r="K105" s="397"/>
      <c r="L105" s="389">
        <f>SUM(K106:K107)</f>
        <v>0</v>
      </c>
      <c r="M105" s="1017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</row>
    <row r="106" spans="1:163" s="15" customFormat="1" ht="21" customHeight="1">
      <c r="A106" s="2"/>
      <c r="B106" s="33" t="s">
        <v>25</v>
      </c>
      <c r="C106" s="34" t="str">
        <f>'BS(회사)'!D49</f>
        <v xml:space="preserve">      매도가능증권평가익</v>
      </c>
      <c r="D106" s="31"/>
      <c r="E106" s="397">
        <f>'BS(회사)'!F49</f>
        <v>7224054</v>
      </c>
      <c r="F106" s="391"/>
      <c r="G106" s="397">
        <f>'BS(회사)'!C49</f>
        <v>11470578</v>
      </c>
      <c r="H106" s="391"/>
      <c r="I106" s="397">
        <f>'PA(R)JE'!E9</f>
        <v>11470578</v>
      </c>
      <c r="J106" s="391"/>
      <c r="K106" s="397">
        <f t="shared" si="7"/>
        <v>0</v>
      </c>
      <c r="L106" s="391"/>
      <c r="M106" s="10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</row>
    <row r="107" spans="1:163" s="15" customFormat="1" ht="21" hidden="1" customHeight="1">
      <c r="B107" s="33" t="s">
        <v>34</v>
      </c>
      <c r="C107" s="34"/>
      <c r="D107" s="31"/>
      <c r="E107" s="397"/>
      <c r="F107" s="391"/>
      <c r="G107" s="397"/>
      <c r="H107" s="391"/>
      <c r="I107" s="397"/>
      <c r="J107" s="391"/>
      <c r="K107" s="397">
        <f t="shared" si="7"/>
        <v>0</v>
      </c>
      <c r="L107" s="391"/>
      <c r="M107" s="10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</row>
    <row r="108" spans="1:163" s="15" customFormat="1" ht="21.75" customHeight="1">
      <c r="A108" s="2" t="s">
        <v>101</v>
      </c>
      <c r="B108" s="29" t="s">
        <v>102</v>
      </c>
      <c r="C108" s="18"/>
      <c r="D108" s="31"/>
      <c r="E108" s="389"/>
      <c r="F108" s="389">
        <f>SUM(E109:E113)</f>
        <v>705801536</v>
      </c>
      <c r="G108" s="389"/>
      <c r="H108" s="389">
        <f>SUM(G109:G113)</f>
        <v>404085694</v>
      </c>
      <c r="I108" s="389"/>
      <c r="J108" s="389"/>
      <c r="K108" s="389"/>
      <c r="L108" s="389">
        <f>SUM(K109:K113)</f>
        <v>437210813</v>
      </c>
      <c r="M108" s="1017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</row>
    <row r="109" spans="1:163" s="15" customFormat="1" ht="21.75" hidden="1" customHeight="1">
      <c r="A109" s="2"/>
      <c r="B109" s="33" t="s">
        <v>25</v>
      </c>
      <c r="C109" s="34" t="str">
        <f>'BS(회사)'!D51</f>
        <v xml:space="preserve">      기타  이익  잉여금</v>
      </c>
      <c r="D109" s="31"/>
      <c r="E109" s="391"/>
      <c r="F109" s="391"/>
      <c r="G109" s="391"/>
      <c r="H109" s="391"/>
      <c r="I109" s="391"/>
      <c r="J109" s="391"/>
      <c r="K109" s="391">
        <f t="shared" si="7"/>
        <v>0</v>
      </c>
      <c r="L109" s="391"/>
      <c r="M109" s="10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</row>
    <row r="110" spans="1:163" s="15" customFormat="1" ht="21.75" hidden="1" customHeight="1">
      <c r="A110" s="2"/>
      <c r="B110" s="33" t="s">
        <v>34</v>
      </c>
      <c r="C110" s="34" t="e">
        <f>#REF!</f>
        <v>#REF!</v>
      </c>
      <c r="D110" s="31"/>
      <c r="E110" s="391"/>
      <c r="F110" s="391"/>
      <c r="G110" s="391"/>
      <c r="H110" s="391"/>
      <c r="I110" s="391"/>
      <c r="J110" s="391"/>
      <c r="K110" s="391">
        <f t="shared" si="7"/>
        <v>0</v>
      </c>
      <c r="L110" s="391"/>
      <c r="M110" s="10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</row>
    <row r="111" spans="1:163" s="15" customFormat="1" ht="21.75" hidden="1" customHeight="1">
      <c r="A111" s="2"/>
      <c r="B111" s="33" t="s">
        <v>35</v>
      </c>
      <c r="C111" s="34" t="e">
        <f>#REF!</f>
        <v>#REF!</v>
      </c>
      <c r="D111" s="31"/>
      <c r="E111" s="391"/>
      <c r="F111" s="391"/>
      <c r="G111" s="391"/>
      <c r="H111" s="391"/>
      <c r="I111" s="391"/>
      <c r="J111" s="391"/>
      <c r="K111" s="391">
        <f t="shared" si="7"/>
        <v>0</v>
      </c>
      <c r="L111" s="391"/>
      <c r="M111" s="10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</row>
    <row r="112" spans="1:163" s="15" customFormat="1" ht="21.75" hidden="1" customHeight="1">
      <c r="A112" s="2"/>
      <c r="B112" s="33" t="s">
        <v>36</v>
      </c>
      <c r="C112" s="34" t="e">
        <f>#REF!</f>
        <v>#REF!</v>
      </c>
      <c r="D112" s="31"/>
      <c r="E112" s="391"/>
      <c r="F112" s="391"/>
      <c r="G112" s="391"/>
      <c r="H112" s="391"/>
      <c r="I112" s="391"/>
      <c r="J112" s="391"/>
      <c r="K112" s="391">
        <f t="shared" si="7"/>
        <v>0</v>
      </c>
      <c r="L112" s="391"/>
      <c r="M112" s="10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</row>
    <row r="113" spans="1:163" s="15" customFormat="1" ht="21" customHeight="1">
      <c r="A113" s="2"/>
      <c r="B113" s="33" t="s">
        <v>25</v>
      </c>
      <c r="C113" s="34" t="s">
        <v>721</v>
      </c>
      <c r="D113" s="31"/>
      <c r="E113" s="391">
        <f>SUM(E114:E116)</f>
        <v>705801536</v>
      </c>
      <c r="F113" s="391"/>
      <c r="G113" s="391">
        <f>SUM(G114:G116)</f>
        <v>404085694</v>
      </c>
      <c r="H113" s="391"/>
      <c r="I113" s="391"/>
      <c r="J113" s="391"/>
      <c r="K113" s="391">
        <f>SUM(K114:K116)</f>
        <v>437210813</v>
      </c>
      <c r="L113" s="391"/>
      <c r="M113" s="10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</row>
    <row r="114" spans="1:163" s="15" customFormat="1" ht="21" customHeight="1">
      <c r="A114" s="2"/>
      <c r="B114" s="33"/>
      <c r="C114" s="18"/>
      <c r="D114" s="41" t="s">
        <v>103</v>
      </c>
      <c r="E114" s="391">
        <v>1639225814</v>
      </c>
      <c r="F114" s="391"/>
      <c r="G114" s="391">
        <f>E113</f>
        <v>705801536</v>
      </c>
      <c r="H114" s="391"/>
      <c r="I114" s="391"/>
      <c r="J114" s="391"/>
      <c r="K114" s="391">
        <f t="shared" si="7"/>
        <v>705801536</v>
      </c>
      <c r="L114" s="391"/>
      <c r="M114" s="10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</row>
    <row r="115" spans="1:163" s="15" customFormat="1" ht="21" customHeight="1">
      <c r="A115" s="2"/>
      <c r="B115" s="33"/>
      <c r="C115" s="42"/>
      <c r="D115" s="41" t="s">
        <v>104</v>
      </c>
      <c r="E115" s="391">
        <v>0</v>
      </c>
      <c r="F115" s="391"/>
      <c r="G115" s="391">
        <v>0</v>
      </c>
      <c r="H115" s="391"/>
      <c r="I115" s="391"/>
      <c r="J115" s="391"/>
      <c r="K115" s="391">
        <f t="shared" si="7"/>
        <v>0</v>
      </c>
      <c r="L115" s="391"/>
      <c r="M115" s="10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</row>
    <row r="116" spans="1:163" s="15" customFormat="1" ht="21" customHeight="1">
      <c r="A116" s="2"/>
      <c r="B116" s="33"/>
      <c r="C116" s="42"/>
      <c r="D116" s="41" t="s">
        <v>105</v>
      </c>
      <c r="E116" s="391">
        <f>F221</f>
        <v>-933424278</v>
      </c>
      <c r="F116" s="391"/>
      <c r="G116" s="391">
        <f>H221</f>
        <v>-301715842</v>
      </c>
      <c r="H116" s="391"/>
      <c r="I116" s="391"/>
      <c r="J116" s="391"/>
      <c r="K116" s="391">
        <f>L221</f>
        <v>-268590723</v>
      </c>
      <c r="L116" s="391"/>
      <c r="M116" s="10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</row>
    <row r="117" spans="1:163" s="15" customFormat="1" ht="21" customHeight="1">
      <c r="A117" s="2"/>
      <c r="B117" s="29" t="s">
        <v>106</v>
      </c>
      <c r="C117" s="18"/>
      <c r="D117" s="31"/>
      <c r="E117" s="389"/>
      <c r="F117" s="396">
        <f>SUM(-F102,F108,F100,F98,F105)</f>
        <v>8966652712</v>
      </c>
      <c r="G117" s="389"/>
      <c r="H117" s="396">
        <f>SUM(-H102,H108,H100,H98,H105)</f>
        <v>8799264461</v>
      </c>
      <c r="I117" s="389"/>
      <c r="J117" s="391"/>
      <c r="K117" s="389"/>
      <c r="L117" s="396">
        <f>SUM(-L102,L108,L100,L98,L105)</f>
        <v>8820592002</v>
      </c>
      <c r="M117" s="10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</row>
    <row r="118" spans="1:163" s="15" customFormat="1" ht="21.75" customHeight="1" thickBot="1">
      <c r="A118" s="2"/>
      <c r="B118" s="29" t="s">
        <v>107</v>
      </c>
      <c r="C118" s="18"/>
      <c r="D118" s="31"/>
      <c r="E118" s="389"/>
      <c r="F118" s="398">
        <f>SUM(F117,F95)</f>
        <v>10428923726</v>
      </c>
      <c r="G118" s="389"/>
      <c r="H118" s="398">
        <f>SUM(H117,H95)</f>
        <v>10048033970</v>
      </c>
      <c r="I118" s="389"/>
      <c r="J118" s="391"/>
      <c r="K118" s="389"/>
      <c r="L118" s="398">
        <f>SUM(L117,L95)</f>
        <v>10069361511</v>
      </c>
      <c r="M118" s="10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</row>
    <row r="119" spans="1:163" s="15" customFormat="1" ht="21.75" customHeight="1" thickTop="1">
      <c r="A119" s="43"/>
      <c r="B119" s="20"/>
      <c r="C119" s="22"/>
      <c r="D119" s="44"/>
      <c r="E119" s="399"/>
      <c r="F119" s="400">
        <f>F118-F75</f>
        <v>0</v>
      </c>
      <c r="G119" s="399"/>
      <c r="H119" s="400">
        <f>H118-H75</f>
        <v>0</v>
      </c>
      <c r="I119" s="399"/>
      <c r="J119" s="401"/>
      <c r="K119" s="399"/>
      <c r="L119" s="400">
        <f>L118-L75</f>
        <v>0</v>
      </c>
      <c r="M119" s="10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</row>
    <row r="120" spans="1:163" s="15" customFormat="1" ht="21.95" customHeight="1">
      <c r="A120" s="45"/>
      <c r="B120" s="33"/>
      <c r="C120" s="12"/>
      <c r="D120" s="12"/>
      <c r="E120" s="46"/>
      <c r="F120" s="47"/>
      <c r="G120" s="46"/>
      <c r="H120" s="47"/>
      <c r="K120" s="46"/>
      <c r="L120" s="47"/>
      <c r="M120" s="47"/>
      <c r="N120" s="997">
        <f>SUM(I9:I119)</f>
        <v>34625119</v>
      </c>
      <c r="O120" s="997">
        <f>SUM(J9:J119)</f>
        <v>1500000</v>
      </c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</row>
    <row r="122" spans="1:163" ht="30" customHeight="1">
      <c r="A122" s="4" t="s">
        <v>372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63" ht="12" customHeight="1">
      <c r="A123" s="8"/>
      <c r="B123" s="9"/>
      <c r="C123" s="10"/>
      <c r="D123" s="9"/>
      <c r="E123" s="11"/>
      <c r="F123" s="11"/>
      <c r="G123" s="11"/>
      <c r="H123" s="11"/>
      <c r="I123" s="11"/>
      <c r="J123" s="11"/>
      <c r="K123" s="11"/>
      <c r="L123" s="11"/>
      <c r="M123" s="11"/>
    </row>
    <row r="124" spans="1:163" ht="15.75" customHeight="1">
      <c r="A124" s="48" t="str">
        <f>기본사항!$C$7</f>
        <v>제  13  기  2011년 1월 1일부터  2011년 12월 31일까지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63" ht="15.75" customHeight="1">
      <c r="A125" s="48" t="str">
        <f>기본사항!$C$8</f>
        <v>제  12  기  2010년 1월 1일부터  2010년 12월 31일까지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63" ht="20.25" customHeight="1">
      <c r="A126" s="14"/>
      <c r="B126" s="14"/>
      <c r="C126" s="15"/>
      <c r="D126" s="16"/>
      <c r="E126" s="17"/>
      <c r="F126" s="17"/>
      <c r="G126" s="17"/>
      <c r="H126" s="17"/>
      <c r="I126" s="17"/>
      <c r="J126" s="17"/>
      <c r="K126" s="17"/>
      <c r="L126" s="17"/>
      <c r="M126" s="17"/>
      <c r="N126" s="998">
        <v>0.65300000000000002</v>
      </c>
      <c r="O126" s="998">
        <f>1-N126</f>
        <v>0.34699999999999998</v>
      </c>
      <c r="P126" s="998" t="s">
        <v>5388</v>
      </c>
    </row>
    <row r="127" spans="1:163">
      <c r="A127" s="19" t="str">
        <f>기본사항!$C$2</f>
        <v>(재)한국여성재단</v>
      </c>
      <c r="B127" s="14"/>
      <c r="C127" s="15"/>
      <c r="D127" s="16"/>
      <c r="E127" s="17"/>
      <c r="F127" s="18"/>
      <c r="G127" s="17"/>
      <c r="H127" s="18"/>
      <c r="I127" s="17"/>
      <c r="J127" s="18"/>
      <c r="K127" s="17"/>
      <c r="L127" s="18"/>
      <c r="M127" s="18"/>
      <c r="N127" s="999">
        <v>7.5999999999999998E-2</v>
      </c>
      <c r="O127" s="999">
        <f>1-N127</f>
        <v>0.92400000000000004</v>
      </c>
      <c r="P127" s="998" t="s">
        <v>5389</v>
      </c>
    </row>
    <row r="128" spans="1:163" ht="6" customHeight="1">
      <c r="A128" s="16"/>
      <c r="B128" s="14"/>
      <c r="C128" s="15"/>
      <c r="D128" s="16"/>
      <c r="E128" s="17"/>
      <c r="F128" s="17"/>
      <c r="G128" s="17"/>
      <c r="H128" s="17"/>
      <c r="I128" s="17"/>
      <c r="J128" s="17"/>
      <c r="K128" s="17"/>
      <c r="L128" s="17"/>
      <c r="M128" s="17"/>
    </row>
    <row r="129" spans="1:15" ht="36" customHeight="1">
      <c r="A129" s="1245" t="s">
        <v>77</v>
      </c>
      <c r="B129" s="1246"/>
      <c r="C129" s="1246"/>
      <c r="D129" s="1247"/>
      <c r="E129" s="24" t="str">
        <f>기본사항!$C$4</f>
        <v>제  12  기</v>
      </c>
      <c r="F129" s="24"/>
      <c r="G129" s="24" t="str">
        <f>기본사항!$C$3</f>
        <v>제  13  기</v>
      </c>
      <c r="H129" s="24"/>
      <c r="I129" s="24" t="s">
        <v>108</v>
      </c>
      <c r="J129" s="24"/>
      <c r="K129" s="49" t="s">
        <v>79</v>
      </c>
      <c r="L129" s="26" t="str">
        <f>기본사항!$C$3</f>
        <v>제  13  기</v>
      </c>
      <c r="M129" s="1019"/>
      <c r="N129" s="1006" t="s">
        <v>5386</v>
      </c>
      <c r="O129" s="1006" t="s">
        <v>5387</v>
      </c>
    </row>
    <row r="130" spans="1:15" ht="21.75" customHeight="1">
      <c r="A130" s="2" t="s">
        <v>22</v>
      </c>
      <c r="B130" s="39" t="s">
        <v>373</v>
      </c>
      <c r="C130" s="12"/>
      <c r="D130" s="31"/>
      <c r="E130" s="389"/>
      <c r="F130" s="391">
        <f>SUM(E131:E146)</f>
        <v>3371877259</v>
      </c>
      <c r="G130" s="389"/>
      <c r="H130" s="391">
        <f>SUM(G131:G146)</f>
        <v>4687627079</v>
      </c>
      <c r="I130" s="404"/>
      <c r="J130" s="404"/>
      <c r="K130" s="389"/>
      <c r="L130" s="1007">
        <f>SUM(K131:K146)</f>
        <v>4992250970</v>
      </c>
      <c r="M130" s="1007"/>
      <c r="N130" s="1012">
        <f>SUM(N131:N145)</f>
        <v>379698761</v>
      </c>
      <c r="O130" s="1012">
        <f>SUM(O131:O146)</f>
        <v>4612552209</v>
      </c>
    </row>
    <row r="131" spans="1:15" ht="21.75" customHeight="1">
      <c r="A131" s="2"/>
      <c r="B131" s="33" t="s">
        <v>25</v>
      </c>
      <c r="C131" s="29" t="str">
        <f>'IS(회사)'!B6</f>
        <v xml:space="preserve">      기본재산이자수입</v>
      </c>
      <c r="D131" s="31"/>
      <c r="E131" s="391">
        <f>'IS(회사)'!E6</f>
        <v>244641638</v>
      </c>
      <c r="F131" s="391"/>
      <c r="G131" s="391">
        <f>'IS(회사)'!C6</f>
        <v>186888950</v>
      </c>
      <c r="H131" s="391"/>
      <c r="I131" s="391"/>
      <c r="J131" s="391">
        <f>'PA(R)JE'!I11+'PA(R)JE'!I13</f>
        <v>13628126</v>
      </c>
      <c r="K131" s="391">
        <f>G131-I131+J131</f>
        <v>200517076</v>
      </c>
      <c r="L131" s="1007"/>
      <c r="M131" s="1007"/>
      <c r="N131" s="1012">
        <f>+K131</f>
        <v>200517076</v>
      </c>
      <c r="O131" s="998"/>
    </row>
    <row r="132" spans="1:15" ht="21.75" customHeight="1">
      <c r="A132" s="2"/>
      <c r="B132" s="33" t="s">
        <v>34</v>
      </c>
      <c r="C132" s="29" t="str">
        <f>'IS(회사)'!B7</f>
        <v xml:space="preserve">      임대료수입</v>
      </c>
      <c r="D132" s="31"/>
      <c r="E132" s="391">
        <f>'IS(회사)'!E7</f>
        <v>119974545</v>
      </c>
      <c r="F132" s="391"/>
      <c r="G132" s="391">
        <f>'IS(회사)'!C7</f>
        <v>125504908</v>
      </c>
      <c r="H132" s="391"/>
      <c r="I132" s="391"/>
      <c r="J132" s="391"/>
      <c r="K132" s="391">
        <f>G132-I132+J132</f>
        <v>125504908</v>
      </c>
      <c r="L132" s="1007"/>
      <c r="M132" s="1007"/>
      <c r="N132" s="1012">
        <f>+K132</f>
        <v>125504908</v>
      </c>
      <c r="O132" s="998"/>
    </row>
    <row r="133" spans="1:15" ht="21.75" customHeight="1">
      <c r="A133" s="2"/>
      <c r="B133" s="33" t="s">
        <v>35</v>
      </c>
      <c r="C133" s="29" t="str">
        <f>'IS(회사)'!B8</f>
        <v xml:space="preserve">      기업지정기부금</v>
      </c>
      <c r="D133" s="31"/>
      <c r="E133" s="391">
        <f>'IS(회사)'!E8</f>
        <v>2402694321</v>
      </c>
      <c r="F133" s="391"/>
      <c r="G133" s="391">
        <f>'IS(회사)'!C8</f>
        <v>3793390380</v>
      </c>
      <c r="H133" s="391"/>
      <c r="I133" s="391"/>
      <c r="J133" s="391">
        <f>'PA(R)JE'!I32</f>
        <v>279198187</v>
      </c>
      <c r="K133" s="391">
        <f t="shared" ref="K133:K145" si="8">G133-I133+J133</f>
        <v>4072588567</v>
      </c>
      <c r="L133" s="1007"/>
      <c r="M133" s="1007"/>
      <c r="N133" s="998"/>
      <c r="O133" s="1012">
        <f>+K133</f>
        <v>4072588567</v>
      </c>
    </row>
    <row r="134" spans="1:15" ht="21.75" customHeight="1">
      <c r="A134" s="2"/>
      <c r="B134" s="33" t="s">
        <v>36</v>
      </c>
      <c r="C134" s="29" t="str">
        <f>'IS(회사)'!B9</f>
        <v xml:space="preserve">      성평등사회조성기부금</v>
      </c>
      <c r="D134" s="31"/>
      <c r="E134" s="391">
        <f>'IS(회사)'!E9</f>
        <v>245450402</v>
      </c>
      <c r="F134" s="391"/>
      <c r="G134" s="391">
        <f>'IS(회사)'!C9</f>
        <v>231654162</v>
      </c>
      <c r="H134" s="391"/>
      <c r="I134" s="391"/>
      <c r="J134" s="391"/>
      <c r="K134" s="391">
        <f t="shared" si="8"/>
        <v>231654162</v>
      </c>
      <c r="L134" s="1007"/>
      <c r="M134" s="1007"/>
      <c r="N134" s="998"/>
      <c r="O134" s="1012">
        <f>+K134</f>
        <v>231654162</v>
      </c>
    </row>
    <row r="135" spans="1:15" ht="21.75" customHeight="1">
      <c r="A135" s="2"/>
      <c r="B135" s="33" t="s">
        <v>39</v>
      </c>
      <c r="C135" s="29" t="str">
        <f>'IS(회사)'!B10</f>
        <v xml:space="preserve">      여성건강지원기부금</v>
      </c>
      <c r="D135" s="31"/>
      <c r="E135" s="391">
        <f>'IS(회사)'!E10</f>
        <v>182113000</v>
      </c>
      <c r="F135" s="391"/>
      <c r="G135" s="391">
        <f>'IS(회사)'!C10</f>
        <v>158666000</v>
      </c>
      <c r="H135" s="391"/>
      <c r="I135" s="391"/>
      <c r="J135" s="391"/>
      <c r="K135" s="391">
        <f t="shared" si="8"/>
        <v>158666000</v>
      </c>
      <c r="L135" s="1007"/>
      <c r="M135" s="1007"/>
      <c r="N135" s="998"/>
      <c r="O135" s="1012">
        <f t="shared" ref="O135:O140" si="9">+K135</f>
        <v>158666000</v>
      </c>
    </row>
    <row r="136" spans="1:15" ht="21.75" customHeight="1">
      <c r="A136" s="2"/>
      <c r="B136" s="33" t="s">
        <v>43</v>
      </c>
      <c r="C136" s="29" t="str">
        <f>'IS(회사)'!B11</f>
        <v xml:space="preserve">      여성가장지원기부금</v>
      </c>
      <c r="D136" s="31"/>
      <c r="E136" s="391">
        <f>'IS(회사)'!E11</f>
        <v>345000</v>
      </c>
      <c r="F136" s="391"/>
      <c r="G136" s="391">
        <f>'IS(회사)'!C11</f>
        <v>233400</v>
      </c>
      <c r="H136" s="391"/>
      <c r="I136" s="391"/>
      <c r="J136" s="391"/>
      <c r="K136" s="391">
        <f t="shared" si="8"/>
        <v>233400</v>
      </c>
      <c r="L136" s="1007"/>
      <c r="M136" s="1007"/>
      <c r="N136" s="998"/>
      <c r="O136" s="1012">
        <f t="shared" si="9"/>
        <v>233400</v>
      </c>
    </row>
    <row r="137" spans="1:15" ht="21.75" customHeight="1">
      <c r="A137" s="2"/>
      <c r="B137" s="33" t="s">
        <v>44</v>
      </c>
      <c r="C137" s="29" t="str">
        <f>'IS(회사)'!B12</f>
        <v xml:space="preserve">      결연기부금</v>
      </c>
      <c r="D137" s="31"/>
      <c r="E137" s="391">
        <f>'IS(회사)'!E12</f>
        <v>2050000</v>
      </c>
      <c r="F137" s="391"/>
      <c r="G137" s="391">
        <f>'IS(회사)'!C12</f>
        <v>500000</v>
      </c>
      <c r="H137" s="391"/>
      <c r="I137" s="391"/>
      <c r="J137" s="391"/>
      <c r="K137" s="391">
        <f t="shared" si="8"/>
        <v>500000</v>
      </c>
      <c r="L137" s="1007"/>
      <c r="M137" s="1007"/>
      <c r="N137" s="998"/>
      <c r="O137" s="1012">
        <f t="shared" si="9"/>
        <v>500000</v>
      </c>
    </row>
    <row r="138" spans="1:15" ht="21.75" customHeight="1">
      <c r="A138" s="2"/>
      <c r="B138" s="33" t="s">
        <v>45</v>
      </c>
      <c r="C138" s="29" t="str">
        <f>'IS(회사)'!B13</f>
        <v xml:space="preserve">      특정명의기금</v>
      </c>
      <c r="D138" s="31"/>
      <c r="E138" s="391">
        <f>'IS(회사)'!E13</f>
        <v>20220000</v>
      </c>
      <c r="F138" s="391"/>
      <c r="G138" s="391">
        <f>'IS(회사)'!C13</f>
        <v>31773000</v>
      </c>
      <c r="H138" s="391"/>
      <c r="I138" s="391"/>
      <c r="J138" s="391">
        <f>'PA(R)JE'!I15</f>
        <v>327000</v>
      </c>
      <c r="K138" s="391">
        <f t="shared" si="8"/>
        <v>32100000</v>
      </c>
      <c r="L138" s="1007"/>
      <c r="M138" s="1007"/>
      <c r="N138" s="998"/>
      <c r="O138" s="1012">
        <f t="shared" si="9"/>
        <v>32100000</v>
      </c>
    </row>
    <row r="139" spans="1:15" ht="21.75" customHeight="1">
      <c r="A139" s="2"/>
      <c r="B139" s="33" t="s">
        <v>46</v>
      </c>
      <c r="C139" s="29" t="str">
        <f>'IS(회사)'!B14</f>
        <v xml:space="preserve">      미래포럼후원금</v>
      </c>
      <c r="D139" s="31"/>
      <c r="E139" s="391">
        <f>'IS(회사)'!E14</f>
        <v>73792000</v>
      </c>
      <c r="F139" s="391"/>
      <c r="G139" s="391">
        <f>'IS(회사)'!C14</f>
        <v>72297790</v>
      </c>
      <c r="H139" s="391"/>
      <c r="I139" s="391"/>
      <c r="J139" s="391"/>
      <c r="K139" s="391">
        <f t="shared" si="8"/>
        <v>72297790</v>
      </c>
      <c r="L139" s="1007"/>
      <c r="M139" s="1007"/>
      <c r="N139" s="998"/>
      <c r="O139" s="1012">
        <f t="shared" si="9"/>
        <v>72297790</v>
      </c>
    </row>
    <row r="140" spans="1:15" ht="21.75" customHeight="1">
      <c r="A140" s="2"/>
      <c r="B140" s="33" t="s">
        <v>41</v>
      </c>
      <c r="C140" s="29" t="str">
        <f>'IS(회사)'!B15</f>
        <v xml:space="preserve">      협찬금</v>
      </c>
      <c r="D140" s="31"/>
      <c r="E140" s="391">
        <f>'IS(회사)'!E15</f>
        <v>31960000</v>
      </c>
      <c r="F140" s="391"/>
      <c r="G140" s="391">
        <f>'IS(회사)'!C15</f>
        <v>32200000</v>
      </c>
      <c r="H140" s="391"/>
      <c r="I140" s="391"/>
      <c r="J140" s="391"/>
      <c r="K140" s="391">
        <f t="shared" si="8"/>
        <v>32200000</v>
      </c>
      <c r="L140" s="1007"/>
      <c r="M140" s="1007"/>
      <c r="N140" s="998"/>
      <c r="O140" s="1012">
        <f t="shared" si="9"/>
        <v>32200000</v>
      </c>
    </row>
    <row r="141" spans="1:15" ht="21.75" customHeight="1">
      <c r="A141" s="2"/>
      <c r="B141" s="33" t="s">
        <v>53</v>
      </c>
      <c r="C141" s="29" t="str">
        <f>'IS(회사)'!B16</f>
        <v xml:space="preserve">      기본재산외이자수입</v>
      </c>
      <c r="D141" s="31"/>
      <c r="E141" s="391">
        <f>'IS(회사)'!E16</f>
        <v>25451994</v>
      </c>
      <c r="F141" s="391"/>
      <c r="G141" s="391">
        <f>'IS(회사)'!C16</f>
        <v>22731883</v>
      </c>
      <c r="H141" s="391"/>
      <c r="I141" s="391"/>
      <c r="J141" s="391">
        <f>+'PA(R)JE'!I9</f>
        <v>11470578</v>
      </c>
      <c r="K141" s="391">
        <f t="shared" si="8"/>
        <v>34202461</v>
      </c>
      <c r="L141" s="1007"/>
      <c r="M141" s="1007"/>
      <c r="N141" s="1012">
        <f>+K141</f>
        <v>34202461</v>
      </c>
      <c r="O141" s="998"/>
    </row>
    <row r="142" spans="1:15" ht="21.75" customHeight="1">
      <c r="A142" s="2"/>
      <c r="B142" s="33" t="s">
        <v>54</v>
      </c>
      <c r="C142" s="29" t="str">
        <f>'IS(회사)'!B17</f>
        <v xml:space="preserve">      잡수입</v>
      </c>
      <c r="D142" s="31"/>
      <c r="E142" s="391">
        <f>'IS(회사)'!E17</f>
        <v>2431843</v>
      </c>
      <c r="F142" s="391">
        <f>+E142+E139</f>
        <v>76223843</v>
      </c>
      <c r="G142" s="391">
        <f>'IS(회사)'!C17</f>
        <v>11677290</v>
      </c>
      <c r="H142" s="391"/>
      <c r="I142" s="391"/>
      <c r="J142" s="391"/>
      <c r="K142" s="391">
        <f t="shared" si="8"/>
        <v>11677290</v>
      </c>
      <c r="L142" s="1007"/>
      <c r="M142" s="1007"/>
      <c r="N142" s="998"/>
      <c r="O142" s="1012">
        <f>+K142</f>
        <v>11677290</v>
      </c>
    </row>
    <row r="143" spans="1:15" ht="21.75" customHeight="1">
      <c r="A143" s="2"/>
      <c r="B143" s="33" t="s">
        <v>55</v>
      </c>
      <c r="C143" s="29" t="str">
        <f>'IS(회사)'!B18</f>
        <v xml:space="preserve">      캐쉬상환이자수입</v>
      </c>
      <c r="D143" s="31"/>
      <c r="E143" s="391">
        <f>'IS(회사)'!E18</f>
        <v>11693612</v>
      </c>
      <c r="F143" s="391"/>
      <c r="G143" s="391">
        <f>'IS(회사)'!C18</f>
        <v>9702800</v>
      </c>
      <c r="H143" s="391"/>
      <c r="I143" s="391"/>
      <c r="J143" s="391"/>
      <c r="K143" s="391">
        <f t="shared" si="8"/>
        <v>9702800</v>
      </c>
      <c r="L143" s="1007"/>
      <c r="M143" s="1007"/>
      <c r="N143" s="1012">
        <f>+K143</f>
        <v>9702800</v>
      </c>
      <c r="O143" s="998"/>
    </row>
    <row r="144" spans="1:15" ht="21.75" customHeight="1">
      <c r="A144" s="2"/>
      <c r="B144" s="33" t="s">
        <v>56</v>
      </c>
      <c r="C144" s="29" t="str">
        <f>'IS(회사)'!B19</f>
        <v xml:space="preserve">      교육희망이자수입</v>
      </c>
      <c r="D144" s="31"/>
      <c r="E144" s="391">
        <f>'IS(회사)'!E19</f>
        <v>1771900</v>
      </c>
      <c r="F144" s="391"/>
      <c r="G144" s="391">
        <f>'IS(회사)'!C19</f>
        <v>1538600</v>
      </c>
      <c r="H144" s="391"/>
      <c r="I144" s="391"/>
      <c r="J144" s="391"/>
      <c r="K144" s="391">
        <f t="shared" si="8"/>
        <v>1538600</v>
      </c>
      <c r="L144" s="1007"/>
      <c r="M144" s="1007"/>
      <c r="N144" s="1012">
        <f>+K144</f>
        <v>1538600</v>
      </c>
      <c r="O144" s="998"/>
    </row>
    <row r="145" spans="1:15" ht="21.75" customHeight="1">
      <c r="A145" s="2"/>
      <c r="B145" s="33" t="s">
        <v>57</v>
      </c>
      <c r="C145" s="29" t="str">
        <f>'IS(회사)'!B20</f>
        <v xml:space="preserve">      희망키움상환이자수입</v>
      </c>
      <c r="D145" s="31"/>
      <c r="E145" s="391">
        <f>'IS(회사)'!E20</f>
        <v>7287004</v>
      </c>
      <c r="F145" s="391"/>
      <c r="G145" s="391">
        <f>'IS(회사)'!C20</f>
        <v>8232916</v>
      </c>
      <c r="H145" s="391"/>
      <c r="I145" s="391"/>
      <c r="J145" s="391"/>
      <c r="K145" s="391">
        <f t="shared" si="8"/>
        <v>8232916</v>
      </c>
      <c r="L145" s="1007"/>
      <c r="M145" s="1007"/>
      <c r="N145" s="1012">
        <f>+K145</f>
        <v>8232916</v>
      </c>
      <c r="O145" s="998"/>
    </row>
    <row r="146" spans="1:15" ht="21.75" customHeight="1">
      <c r="A146" s="2"/>
      <c r="B146" s="33" t="s">
        <v>58</v>
      </c>
      <c r="C146" s="29" t="str">
        <f>'IS(회사)'!B21</f>
        <v xml:space="preserve">      교육장 대관수입</v>
      </c>
      <c r="D146" s="31"/>
      <c r="E146" s="391">
        <f>'IS(회사)'!E21</f>
        <v>0</v>
      </c>
      <c r="F146" s="391"/>
      <c r="G146" s="391">
        <f>'IS(회사)'!C21</f>
        <v>635000</v>
      </c>
      <c r="H146" s="391"/>
      <c r="I146" s="391"/>
      <c r="J146" s="391"/>
      <c r="K146" s="391">
        <f>G146-I146+J146</f>
        <v>635000</v>
      </c>
      <c r="L146" s="1007"/>
      <c r="M146" s="1007"/>
      <c r="N146" s="998"/>
      <c r="O146" s="1012">
        <f>+K146</f>
        <v>635000</v>
      </c>
    </row>
    <row r="147" spans="1:15" ht="21.75" customHeight="1">
      <c r="A147" s="2" t="s">
        <v>37</v>
      </c>
      <c r="B147" s="39" t="s">
        <v>238</v>
      </c>
      <c r="C147" s="12"/>
      <c r="D147" s="31"/>
      <c r="E147" s="391"/>
      <c r="F147" s="391">
        <f>SUM(E148,E152,E156)</f>
        <v>0</v>
      </c>
      <c r="G147" s="391"/>
      <c r="H147" s="391">
        <f>SUM(G148,G152,G156)</f>
        <v>0</v>
      </c>
      <c r="I147" s="391"/>
      <c r="J147" s="391"/>
      <c r="K147" s="391"/>
      <c r="L147" s="1007">
        <f>SUM(K148,K152,K156)</f>
        <v>0</v>
      </c>
      <c r="M147" s="1007"/>
      <c r="N147" s="998"/>
      <c r="O147" s="998"/>
    </row>
    <row r="148" spans="1:15" ht="21.75" hidden="1" customHeight="1">
      <c r="A148" s="2"/>
      <c r="B148" s="33" t="s">
        <v>109</v>
      </c>
      <c r="C148" s="29" t="s">
        <v>374</v>
      </c>
      <c r="D148" s="31"/>
      <c r="E148" s="391">
        <f>SUM(E149,E150,-E151)</f>
        <v>0</v>
      </c>
      <c r="F148" s="391"/>
      <c r="G148" s="391">
        <f>SUM(G149,G150,-G151)</f>
        <v>0</v>
      </c>
      <c r="H148" s="391"/>
      <c r="I148" s="391"/>
      <c r="J148" s="391"/>
      <c r="K148" s="391">
        <f>SUM(K149,K150,-K151)</f>
        <v>0</v>
      </c>
      <c r="L148" s="1007"/>
      <c r="M148" s="1007"/>
      <c r="N148" s="998"/>
      <c r="O148" s="998"/>
    </row>
    <row r="149" spans="1:15" ht="21.75" hidden="1" customHeight="1">
      <c r="A149" s="2"/>
      <c r="B149" s="15"/>
      <c r="C149" s="33" t="s">
        <v>25</v>
      </c>
      <c r="D149" s="50" t="s">
        <v>375</v>
      </c>
      <c r="E149" s="391"/>
      <c r="F149" s="391"/>
      <c r="G149" s="391"/>
      <c r="H149" s="391"/>
      <c r="I149" s="391"/>
      <c r="J149" s="391"/>
      <c r="K149" s="391">
        <f>G149+I149-J149</f>
        <v>0</v>
      </c>
      <c r="L149" s="1007"/>
      <c r="M149" s="1007"/>
      <c r="N149" s="998"/>
      <c r="O149" s="998"/>
    </row>
    <row r="150" spans="1:15" ht="21.75" hidden="1" customHeight="1">
      <c r="A150" s="2"/>
      <c r="B150" s="33"/>
      <c r="C150" s="33" t="s">
        <v>34</v>
      </c>
      <c r="D150" s="50" t="s">
        <v>376</v>
      </c>
      <c r="E150" s="391"/>
      <c r="F150" s="391"/>
      <c r="G150" s="391"/>
      <c r="H150" s="391"/>
      <c r="I150" s="391"/>
      <c r="J150" s="391"/>
      <c r="K150" s="391">
        <f>G150+I150-J150</f>
        <v>0</v>
      </c>
      <c r="L150" s="1007"/>
      <c r="M150" s="1007"/>
      <c r="N150" s="998"/>
      <c r="O150" s="998"/>
    </row>
    <row r="151" spans="1:15" ht="21.75" hidden="1" customHeight="1">
      <c r="A151" s="2"/>
      <c r="B151" s="33"/>
      <c r="C151" s="33" t="s">
        <v>35</v>
      </c>
      <c r="D151" s="50" t="s">
        <v>377</v>
      </c>
      <c r="E151" s="391"/>
      <c r="F151" s="391"/>
      <c r="G151" s="391"/>
      <c r="H151" s="391"/>
      <c r="I151" s="391"/>
      <c r="J151" s="391"/>
      <c r="K151" s="391">
        <f>G151-I151+J151</f>
        <v>0</v>
      </c>
      <c r="L151" s="1007"/>
      <c r="M151" s="1007"/>
      <c r="N151" s="998"/>
      <c r="O151" s="998"/>
    </row>
    <row r="152" spans="1:15" ht="21.75" hidden="1" customHeight="1">
      <c r="A152" s="2"/>
      <c r="B152" s="33" t="s">
        <v>716</v>
      </c>
      <c r="C152" s="29" t="s">
        <v>717</v>
      </c>
      <c r="D152" s="31"/>
      <c r="E152" s="391">
        <f>SUM(E153,E154,-E155)</f>
        <v>0</v>
      </c>
      <c r="F152" s="391"/>
      <c r="G152" s="391">
        <f>SUM(G153,G154,-G155)</f>
        <v>0</v>
      </c>
      <c r="H152" s="391"/>
      <c r="I152" s="391"/>
      <c r="J152" s="391"/>
      <c r="K152" s="391">
        <f>SUM(K153,K154,-K155)</f>
        <v>0</v>
      </c>
      <c r="L152" s="1007"/>
      <c r="M152" s="1007"/>
      <c r="N152" s="998"/>
      <c r="O152" s="998"/>
    </row>
    <row r="153" spans="1:15" ht="21.75" hidden="1" customHeight="1">
      <c r="A153" s="2"/>
      <c r="B153" s="15"/>
      <c r="C153" s="33" t="s">
        <v>25</v>
      </c>
      <c r="D153" s="50" t="s">
        <v>2891</v>
      </c>
      <c r="E153" s="391"/>
      <c r="F153" s="391"/>
      <c r="G153" s="391"/>
      <c r="H153" s="391"/>
      <c r="I153" s="391"/>
      <c r="J153" s="391"/>
      <c r="K153" s="391">
        <f>G153+I153-J153</f>
        <v>0</v>
      </c>
      <c r="L153" s="1007"/>
      <c r="M153" s="1007"/>
      <c r="N153" s="998"/>
      <c r="O153" s="998"/>
    </row>
    <row r="154" spans="1:15" ht="21.75" hidden="1" customHeight="1">
      <c r="A154" s="2"/>
      <c r="B154" s="33"/>
      <c r="C154" s="33" t="s">
        <v>34</v>
      </c>
      <c r="D154" s="50" t="s">
        <v>2892</v>
      </c>
      <c r="E154" s="391"/>
      <c r="F154" s="391"/>
      <c r="G154" s="391"/>
      <c r="H154" s="391"/>
      <c r="I154" s="391"/>
      <c r="J154" s="391"/>
      <c r="K154" s="391">
        <f>G154+I154-J154</f>
        <v>0</v>
      </c>
      <c r="L154" s="1007"/>
      <c r="M154" s="1007"/>
      <c r="N154" s="998"/>
      <c r="O154" s="998"/>
    </row>
    <row r="155" spans="1:15" ht="21.75" hidden="1" customHeight="1">
      <c r="A155" s="2"/>
      <c r="B155" s="33"/>
      <c r="C155" s="33" t="s">
        <v>35</v>
      </c>
      <c r="D155" s="50" t="s">
        <v>2893</v>
      </c>
      <c r="E155" s="391"/>
      <c r="F155" s="391"/>
      <c r="G155" s="391"/>
      <c r="H155" s="391"/>
      <c r="I155" s="391"/>
      <c r="J155" s="391"/>
      <c r="K155" s="391">
        <f>G155-I155+J155</f>
        <v>0</v>
      </c>
      <c r="L155" s="1007"/>
      <c r="M155" s="1007"/>
      <c r="N155" s="998"/>
      <c r="O155" s="998"/>
    </row>
    <row r="156" spans="1:15" ht="21.75" hidden="1" customHeight="1">
      <c r="A156" s="2"/>
      <c r="B156" s="33" t="s">
        <v>718</v>
      </c>
      <c r="C156" s="29" t="s">
        <v>719</v>
      </c>
      <c r="D156" s="31"/>
      <c r="E156" s="391">
        <f>SUM(E157,E158,-E159)</f>
        <v>0</v>
      </c>
      <c r="F156" s="391"/>
      <c r="G156" s="391">
        <f>SUM(G157,G158,-G159)</f>
        <v>0</v>
      </c>
      <c r="H156" s="391"/>
      <c r="I156" s="391"/>
      <c r="J156" s="391"/>
      <c r="K156" s="391">
        <f>SUM(K157,K158,-K159)</f>
        <v>0</v>
      </c>
      <c r="L156" s="1007"/>
      <c r="M156" s="1007"/>
      <c r="N156" s="998"/>
      <c r="O156" s="998"/>
    </row>
    <row r="157" spans="1:15" ht="21.75" hidden="1" customHeight="1">
      <c r="A157" s="2"/>
      <c r="B157" s="15"/>
      <c r="C157" s="33" t="s">
        <v>25</v>
      </c>
      <c r="D157" s="50" t="s">
        <v>375</v>
      </c>
      <c r="E157" s="391"/>
      <c r="F157" s="391"/>
      <c r="G157" s="391"/>
      <c r="H157" s="391"/>
      <c r="I157" s="391"/>
      <c r="J157" s="391"/>
      <c r="K157" s="391">
        <f>G157+I157-J157</f>
        <v>0</v>
      </c>
      <c r="L157" s="1007"/>
      <c r="M157" s="1007"/>
      <c r="N157" s="998"/>
      <c r="O157" s="998"/>
    </row>
    <row r="158" spans="1:15" ht="21.75" hidden="1" customHeight="1">
      <c r="A158" s="2"/>
      <c r="B158" s="33"/>
      <c r="C158" s="33" t="s">
        <v>34</v>
      </c>
      <c r="D158" s="50" t="s">
        <v>376</v>
      </c>
      <c r="E158" s="391"/>
      <c r="F158" s="391"/>
      <c r="G158" s="391"/>
      <c r="H158" s="391"/>
      <c r="I158" s="391"/>
      <c r="J158" s="391"/>
      <c r="K158" s="391">
        <f>G158+I158-J158</f>
        <v>0</v>
      </c>
      <c r="L158" s="1007"/>
      <c r="M158" s="1007"/>
      <c r="N158" s="998"/>
      <c r="O158" s="998"/>
    </row>
    <row r="159" spans="1:15" ht="21.75" hidden="1" customHeight="1">
      <c r="A159" s="2"/>
      <c r="B159" s="33"/>
      <c r="C159" s="33" t="s">
        <v>35</v>
      </c>
      <c r="D159" s="50" t="s">
        <v>377</v>
      </c>
      <c r="E159" s="391"/>
      <c r="F159" s="391"/>
      <c r="G159" s="391"/>
      <c r="H159" s="391"/>
      <c r="I159" s="391"/>
      <c r="J159" s="391"/>
      <c r="K159" s="391">
        <f>G159-I159+J159</f>
        <v>0</v>
      </c>
      <c r="L159" s="1007"/>
      <c r="M159" s="1007"/>
      <c r="N159" s="998"/>
      <c r="O159" s="998"/>
    </row>
    <row r="160" spans="1:15" ht="21.75" customHeight="1">
      <c r="A160" s="2" t="s">
        <v>47</v>
      </c>
      <c r="B160" s="29" t="s">
        <v>52</v>
      </c>
      <c r="C160" s="12"/>
      <c r="D160" s="30"/>
      <c r="E160" s="391"/>
      <c r="F160" s="391">
        <f>SUM(F130,-F147)</f>
        <v>3371877259</v>
      </c>
      <c r="G160" s="391"/>
      <c r="H160" s="391">
        <f>SUM(H130,-H147)</f>
        <v>4687627079</v>
      </c>
      <c r="I160" s="391"/>
      <c r="J160" s="391"/>
      <c r="K160" s="391"/>
      <c r="L160" s="1007">
        <f>SUM(L130,-L147)</f>
        <v>4992250970</v>
      </c>
      <c r="M160" s="1007"/>
      <c r="N160" s="998"/>
      <c r="O160" s="998"/>
    </row>
    <row r="161" spans="1:15" ht="21.75" customHeight="1">
      <c r="A161" s="2" t="s">
        <v>48</v>
      </c>
      <c r="B161" s="39" t="s">
        <v>371</v>
      </c>
      <c r="C161" s="12"/>
      <c r="D161" s="30"/>
      <c r="E161" s="391"/>
      <c r="F161" s="391">
        <f>SUM(E162:E197)</f>
        <v>4304626105</v>
      </c>
      <c r="G161" s="391"/>
      <c r="H161" s="391">
        <f>SUM(G162:G197)</f>
        <v>4989303167</v>
      </c>
      <c r="I161" s="391"/>
      <c r="J161" s="391"/>
      <c r="K161" s="391"/>
      <c r="L161" s="1007">
        <f>SUM(K162:K197)</f>
        <v>5260801939</v>
      </c>
      <c r="M161" s="1007"/>
      <c r="N161" s="1013">
        <f>SUM(N162:N197)</f>
        <v>107705981.561</v>
      </c>
      <c r="O161" s="998"/>
    </row>
    <row r="162" spans="1:15" ht="21.75" customHeight="1">
      <c r="A162" s="2"/>
      <c r="B162" s="33" t="s">
        <v>25</v>
      </c>
      <c r="C162" s="29" t="str">
        <f>'IS(회사)'!B25</f>
        <v xml:space="preserve">      모금행사비</v>
      </c>
      <c r="D162" s="31"/>
      <c r="E162" s="391">
        <f>'IS(회사)'!E25</f>
        <v>55865447</v>
      </c>
      <c r="F162" s="391"/>
      <c r="G162" s="391">
        <f>'IS(회사)'!C25</f>
        <v>17197020</v>
      </c>
      <c r="H162" s="391"/>
      <c r="I162" s="391"/>
      <c r="J162" s="391"/>
      <c r="K162" s="391">
        <f t="shared" ref="K162:K197" si="10">G162+I162-J162</f>
        <v>17197020</v>
      </c>
      <c r="L162" s="1007">
        <f>SUM(K162:K164)</f>
        <v>28384380</v>
      </c>
      <c r="M162" s="1007"/>
      <c r="N162" s="998"/>
      <c r="O162" s="998"/>
    </row>
    <row r="163" spans="1:15" ht="21.75" customHeight="1">
      <c r="A163" s="2"/>
      <c r="B163" s="33" t="s">
        <v>34</v>
      </c>
      <c r="C163" s="29" t="str">
        <f>'IS(회사)'!B26</f>
        <v xml:space="preserve">      일반모금비</v>
      </c>
      <c r="D163" s="31"/>
      <c r="E163" s="391">
        <f>'IS(회사)'!E26</f>
        <v>3137670</v>
      </c>
      <c r="F163" s="391"/>
      <c r="G163" s="391">
        <f>'IS(회사)'!C26</f>
        <v>7314360</v>
      </c>
      <c r="H163" s="391"/>
      <c r="I163" s="391"/>
      <c r="J163" s="391"/>
      <c r="K163" s="391">
        <f t="shared" si="10"/>
        <v>7314360</v>
      </c>
      <c r="L163" s="1007"/>
      <c r="M163" s="1007"/>
      <c r="N163" s="998"/>
      <c r="O163" s="998"/>
    </row>
    <row r="164" spans="1:15" ht="21.75" customHeight="1">
      <c r="A164" s="2"/>
      <c r="B164" s="33" t="s">
        <v>35</v>
      </c>
      <c r="C164" s="29" t="str">
        <f>'IS(회사)'!B27</f>
        <v xml:space="preserve">      네트웤활동비</v>
      </c>
      <c r="D164" s="50"/>
      <c r="E164" s="391">
        <f>'IS(회사)'!E27</f>
        <v>3686020</v>
      </c>
      <c r="F164" s="391"/>
      <c r="G164" s="391">
        <f>'IS(회사)'!C27</f>
        <v>3873000</v>
      </c>
      <c r="H164" s="391"/>
      <c r="I164" s="391"/>
      <c r="J164" s="391"/>
      <c r="K164" s="391">
        <f t="shared" si="10"/>
        <v>3873000</v>
      </c>
      <c r="L164" s="1007"/>
      <c r="M164" s="1007"/>
      <c r="N164" s="998"/>
      <c r="O164" s="998"/>
    </row>
    <row r="165" spans="1:15" ht="21.75" customHeight="1">
      <c r="A165" s="2"/>
      <c r="B165" s="33" t="s">
        <v>36</v>
      </c>
      <c r="C165" s="29" t="str">
        <f>'IS(회사)'!B28</f>
        <v xml:space="preserve">      목적사업비</v>
      </c>
      <c r="D165" s="31"/>
      <c r="E165" s="391">
        <f>'IS(회사)'!E28</f>
        <v>3109891671</v>
      </c>
      <c r="F165" s="391"/>
      <c r="G165" s="391">
        <f>'IS(회사)'!C28</f>
        <v>3848659631</v>
      </c>
      <c r="H165" s="391"/>
      <c r="I165" s="391">
        <f>'PA(R)JE'!E32</f>
        <v>279198187</v>
      </c>
      <c r="J165" s="391"/>
      <c r="K165" s="391">
        <f t="shared" si="10"/>
        <v>4127857818</v>
      </c>
      <c r="L165" s="1007">
        <f>SUM(K165:K167)</f>
        <v>4565811464</v>
      </c>
      <c r="M165" s="1007"/>
      <c r="N165" s="998"/>
      <c r="O165" s="998"/>
    </row>
    <row r="166" spans="1:15" ht="21.75" customHeight="1">
      <c r="A166" s="2"/>
      <c r="B166" s="33" t="s">
        <v>39</v>
      </c>
      <c r="C166" s="29" t="str">
        <f>'IS(회사)'!B29</f>
        <v xml:space="preserve">      배분경비</v>
      </c>
      <c r="D166" s="31"/>
      <c r="E166" s="391">
        <f>'IS(회사)'!E29</f>
        <v>245652488</v>
      </c>
      <c r="F166" s="391"/>
      <c r="G166" s="391">
        <f>'IS(회사)'!C29</f>
        <v>280036246</v>
      </c>
      <c r="H166" s="391"/>
      <c r="I166" s="391"/>
      <c r="J166" s="391"/>
      <c r="K166" s="391">
        <f t="shared" si="10"/>
        <v>280036246</v>
      </c>
      <c r="L166" s="1007"/>
      <c r="M166" s="1007"/>
      <c r="N166" s="998"/>
      <c r="O166" s="998"/>
    </row>
    <row r="167" spans="1:15" ht="21.75" customHeight="1">
      <c r="A167" s="2"/>
      <c r="B167" s="33" t="s">
        <v>43</v>
      </c>
      <c r="C167" s="29" t="str">
        <f>'IS(회사)'!B30</f>
        <v xml:space="preserve">      배분인건비</v>
      </c>
      <c r="D167" s="31"/>
      <c r="E167" s="391">
        <f>'IS(회사)'!E30</f>
        <v>131114000</v>
      </c>
      <c r="F167" s="391"/>
      <c r="G167" s="391">
        <f>'IS(회사)'!C30</f>
        <v>157917400</v>
      </c>
      <c r="H167" s="391"/>
      <c r="I167" s="391"/>
      <c r="J167" s="391"/>
      <c r="K167" s="391">
        <f t="shared" si="10"/>
        <v>157917400</v>
      </c>
      <c r="L167" s="1007"/>
      <c r="M167" s="1007"/>
      <c r="N167" s="998"/>
      <c r="O167" s="998"/>
    </row>
    <row r="168" spans="1:15" ht="21.75" customHeight="1">
      <c r="A168" s="2"/>
      <c r="B168" s="33" t="s">
        <v>44</v>
      </c>
      <c r="C168" s="29" t="str">
        <f>'IS(회사)'!B31</f>
        <v xml:space="preserve">      출판인쇄비</v>
      </c>
      <c r="D168" s="31"/>
      <c r="E168" s="391">
        <f>'IS(회사)'!E31</f>
        <v>47662418</v>
      </c>
      <c r="F168" s="391"/>
      <c r="G168" s="391">
        <f>'IS(회사)'!C31</f>
        <v>39631080</v>
      </c>
      <c r="H168" s="391"/>
      <c r="I168" s="391"/>
      <c r="J168" s="391"/>
      <c r="K168" s="391">
        <f t="shared" si="10"/>
        <v>39631080</v>
      </c>
      <c r="L168" s="1007">
        <f>SUM(K168:K172)</f>
        <v>66255920</v>
      </c>
      <c r="M168" s="1007"/>
      <c r="N168" s="998"/>
      <c r="O168" s="998"/>
    </row>
    <row r="169" spans="1:15" ht="21.75" customHeight="1">
      <c r="A169" s="2"/>
      <c r="B169" s="33" t="s">
        <v>45</v>
      </c>
      <c r="C169" s="29" t="str">
        <f>'IS(회사)'!B32</f>
        <v xml:space="preserve">      웹홍보비</v>
      </c>
      <c r="D169" s="31"/>
      <c r="E169" s="391">
        <f>'IS(회사)'!E32</f>
        <v>6720000</v>
      </c>
      <c r="F169" s="391"/>
      <c r="G169" s="391">
        <f>'IS(회사)'!C32</f>
        <v>7715130</v>
      </c>
      <c r="H169" s="391"/>
      <c r="I169" s="391"/>
      <c r="J169" s="391"/>
      <c r="K169" s="391">
        <f t="shared" si="10"/>
        <v>7715130</v>
      </c>
      <c r="L169" s="1007"/>
      <c r="M169" s="1007"/>
      <c r="N169" s="998"/>
      <c r="O169" s="998"/>
    </row>
    <row r="170" spans="1:15" ht="21.75" customHeight="1">
      <c r="A170" s="2"/>
      <c r="B170" s="33" t="s">
        <v>46</v>
      </c>
      <c r="C170" s="29" t="str">
        <f>'IS(회사)'!B33</f>
        <v xml:space="preserve">      홍보물제작비</v>
      </c>
      <c r="D170" s="31"/>
      <c r="E170" s="391">
        <f>'IS(회사)'!E33</f>
        <v>21468800</v>
      </c>
      <c r="F170" s="391"/>
      <c r="G170" s="391">
        <f>'IS(회사)'!C33</f>
        <v>17058150</v>
      </c>
      <c r="H170" s="391"/>
      <c r="I170" s="391"/>
      <c r="J170" s="391"/>
      <c r="K170" s="391">
        <f t="shared" si="10"/>
        <v>17058150</v>
      </c>
      <c r="L170" s="1007"/>
      <c r="M170" s="1007"/>
      <c r="N170" s="998"/>
      <c r="O170" s="998"/>
    </row>
    <row r="171" spans="1:15" ht="21.75" customHeight="1">
      <c r="A171" s="2"/>
      <c r="B171" s="33" t="s">
        <v>41</v>
      </c>
      <c r="C171" s="29" t="str">
        <f>'IS(회사)'!B34</f>
        <v xml:space="preserve">      홍보관리비</v>
      </c>
      <c r="D171" s="31"/>
      <c r="E171" s="391">
        <f>'IS(회사)'!E34</f>
        <v>1609410</v>
      </c>
      <c r="F171" s="391"/>
      <c r="G171" s="391">
        <f>'IS(회사)'!C34</f>
        <v>1851560</v>
      </c>
      <c r="H171" s="391"/>
      <c r="I171" s="391"/>
      <c r="J171" s="391"/>
      <c r="K171" s="391">
        <f t="shared" si="10"/>
        <v>1851560</v>
      </c>
      <c r="L171" s="1007"/>
      <c r="M171" s="1007"/>
      <c r="N171" s="998"/>
      <c r="O171" s="998"/>
    </row>
    <row r="172" spans="1:15" ht="21.75" customHeight="1">
      <c r="A172" s="2"/>
      <c r="B172" s="33" t="s">
        <v>53</v>
      </c>
      <c r="C172" s="29" t="str">
        <f>'IS(회사)'!B35</f>
        <v xml:space="preserve">      10주년기념사업비</v>
      </c>
      <c r="D172" s="31"/>
      <c r="E172" s="391">
        <f>'IS(회사)'!E35</f>
        <v>23532750</v>
      </c>
      <c r="F172" s="391"/>
      <c r="G172" s="391">
        <f>'IS(회사)'!C35</f>
        <v>0</v>
      </c>
      <c r="H172" s="391"/>
      <c r="I172" s="391"/>
      <c r="J172" s="391"/>
      <c r="K172" s="391">
        <f t="shared" si="10"/>
        <v>0</v>
      </c>
      <c r="L172" s="1007"/>
      <c r="M172" s="1007"/>
      <c r="N172" s="998"/>
      <c r="O172" s="998"/>
    </row>
    <row r="173" spans="1:15" ht="21.75" customHeight="1">
      <c r="A173" s="2"/>
      <c r="B173" s="33" t="s">
        <v>54</v>
      </c>
      <c r="C173" s="29" t="str">
        <f>'IS(회사)'!B36</f>
        <v xml:space="preserve">      급여</v>
      </c>
      <c r="D173" s="31"/>
      <c r="E173" s="391">
        <f>'IS(회사)'!E36</f>
        <v>355137310</v>
      </c>
      <c r="F173" s="391"/>
      <c r="G173" s="391">
        <f>'IS(회사)'!C36</f>
        <v>332402140</v>
      </c>
      <c r="H173" s="391"/>
      <c r="I173" s="391"/>
      <c r="J173" s="391"/>
      <c r="K173" s="391">
        <f t="shared" si="10"/>
        <v>332402140</v>
      </c>
      <c r="L173" s="1007">
        <f>SUM(K173:K197)</f>
        <v>600350175</v>
      </c>
      <c r="M173" s="1007"/>
      <c r="N173" s="1013">
        <f>+K173*$N$127</f>
        <v>25262562.640000001</v>
      </c>
      <c r="O173" s="998"/>
    </row>
    <row r="174" spans="1:15" ht="21.75" customHeight="1">
      <c r="A174" s="2"/>
      <c r="B174" s="33" t="s">
        <v>55</v>
      </c>
      <c r="C174" s="29" t="str">
        <f>'IS(회사)'!B37</f>
        <v xml:space="preserve">      사회보험부담금</v>
      </c>
      <c r="D174" s="31"/>
      <c r="E174" s="391">
        <f>'IS(회사)'!E37</f>
        <v>44561510</v>
      </c>
      <c r="F174" s="391"/>
      <c r="G174" s="391">
        <f>'IS(회사)'!C37</f>
        <v>39942100</v>
      </c>
      <c r="H174" s="391"/>
      <c r="I174" s="391"/>
      <c r="J174" s="391"/>
      <c r="K174" s="391">
        <f t="shared" si="10"/>
        <v>39942100</v>
      </c>
      <c r="L174" s="1007"/>
      <c r="M174" s="1007"/>
      <c r="N174" s="1013">
        <f t="shared" ref="N174:N197" si="11">+K174*$N$127</f>
        <v>3035599.6</v>
      </c>
      <c r="O174" s="998"/>
    </row>
    <row r="175" spans="1:15" ht="21.75" customHeight="1">
      <c r="A175" s="2"/>
      <c r="B175" s="33" t="s">
        <v>56</v>
      </c>
      <c r="C175" s="29" t="str">
        <f>'IS(회사)'!B38</f>
        <v xml:space="preserve">      일용잡급</v>
      </c>
      <c r="D175" s="31"/>
      <c r="E175" s="391">
        <f>'IS(회사)'!E38</f>
        <v>3670920</v>
      </c>
      <c r="F175" s="391"/>
      <c r="G175" s="391">
        <f>'IS(회사)'!C38</f>
        <v>660000</v>
      </c>
      <c r="H175" s="391"/>
      <c r="I175" s="391"/>
      <c r="J175" s="391"/>
      <c r="K175" s="391">
        <f t="shared" si="10"/>
        <v>660000</v>
      </c>
      <c r="L175" s="1007"/>
      <c r="M175" s="1007"/>
      <c r="N175" s="1013">
        <f t="shared" si="11"/>
        <v>50160</v>
      </c>
      <c r="O175" s="998"/>
    </row>
    <row r="176" spans="1:15" ht="21.75" customHeight="1">
      <c r="A176" s="2"/>
      <c r="B176" s="33" t="s">
        <v>57</v>
      </c>
      <c r="C176" s="29" t="str">
        <f>'IS(회사)'!B39</f>
        <v xml:space="preserve">      회의비</v>
      </c>
      <c r="D176" s="31"/>
      <c r="E176" s="391">
        <f>'IS(회사)'!E39</f>
        <v>2877760</v>
      </c>
      <c r="F176" s="391"/>
      <c r="G176" s="391">
        <f>'IS(회사)'!C39</f>
        <v>1639010</v>
      </c>
      <c r="H176" s="391"/>
      <c r="I176" s="391"/>
      <c r="J176" s="391"/>
      <c r="K176" s="391">
        <f t="shared" si="10"/>
        <v>1639010</v>
      </c>
      <c r="L176" s="1007"/>
      <c r="M176" s="1007"/>
      <c r="N176" s="1013">
        <f t="shared" si="11"/>
        <v>124564.76</v>
      </c>
      <c r="O176" s="998"/>
    </row>
    <row r="177" spans="1:15" ht="21.75" customHeight="1">
      <c r="A177" s="2"/>
      <c r="B177" s="33" t="s">
        <v>58</v>
      </c>
      <c r="C177" s="29" t="str">
        <f>'IS(회사)'!B40</f>
        <v xml:space="preserve">      기관운영비</v>
      </c>
      <c r="D177" s="31"/>
      <c r="E177" s="391">
        <f>'IS(회사)'!E40</f>
        <v>9155370</v>
      </c>
      <c r="F177" s="391"/>
      <c r="G177" s="391">
        <f>'IS(회사)'!C40</f>
        <v>1006911</v>
      </c>
      <c r="H177" s="391"/>
      <c r="I177" s="391"/>
      <c r="J177" s="391"/>
      <c r="K177" s="391">
        <f t="shared" si="10"/>
        <v>1006911</v>
      </c>
      <c r="L177" s="1007"/>
      <c r="M177" s="1007"/>
      <c r="N177" s="1013">
        <f t="shared" si="11"/>
        <v>76525.236000000004</v>
      </c>
      <c r="O177" s="998"/>
    </row>
    <row r="178" spans="1:15" ht="21.75" customHeight="1">
      <c r="A178" s="2"/>
      <c r="B178" s="33" t="s">
        <v>59</v>
      </c>
      <c r="C178" s="29" t="str">
        <f>'IS(회사)'!B41</f>
        <v xml:space="preserve">      직책보조비</v>
      </c>
      <c r="D178" s="31"/>
      <c r="E178" s="391">
        <f>'IS(회사)'!E41</f>
        <v>9500000</v>
      </c>
      <c r="F178" s="391"/>
      <c r="G178" s="391">
        <f>'IS(회사)'!C41</f>
        <v>10100000</v>
      </c>
      <c r="H178" s="391"/>
      <c r="I178" s="391"/>
      <c r="J178" s="391"/>
      <c r="K178" s="391">
        <f t="shared" si="10"/>
        <v>10100000</v>
      </c>
      <c r="L178" s="1007"/>
      <c r="M178" s="1007"/>
      <c r="N178" s="1013">
        <f t="shared" si="11"/>
        <v>767600</v>
      </c>
      <c r="O178" s="998"/>
    </row>
    <row r="179" spans="1:15" ht="21.75" customHeight="1">
      <c r="A179" s="2"/>
      <c r="B179" s="33" t="s">
        <v>60</v>
      </c>
      <c r="C179" s="29" t="str">
        <f>'IS(회사)'!B42</f>
        <v xml:space="preserve">      대외협력비</v>
      </c>
      <c r="D179" s="31"/>
      <c r="E179" s="391">
        <f>'IS(회사)'!E42</f>
        <v>1778200</v>
      </c>
      <c r="F179" s="391"/>
      <c r="G179" s="391">
        <f>'IS(회사)'!C42</f>
        <v>4364455</v>
      </c>
      <c r="H179" s="391"/>
      <c r="I179" s="391"/>
      <c r="J179" s="391"/>
      <c r="K179" s="391">
        <f t="shared" si="10"/>
        <v>4364455</v>
      </c>
      <c r="L179" s="1007"/>
      <c r="M179" s="1007"/>
      <c r="N179" s="1013">
        <f t="shared" si="11"/>
        <v>331698.58</v>
      </c>
      <c r="O179" s="998"/>
    </row>
    <row r="180" spans="1:15" ht="21.75" customHeight="1">
      <c r="A180" s="2"/>
      <c r="B180" s="33" t="s">
        <v>61</v>
      </c>
      <c r="C180" s="29" t="str">
        <f>'IS(회사)'!B43</f>
        <v xml:space="preserve">      복리후생비</v>
      </c>
      <c r="D180" s="31"/>
      <c r="E180" s="391">
        <f>'IS(회사)'!E43</f>
        <v>18700040</v>
      </c>
      <c r="F180" s="391"/>
      <c r="G180" s="391">
        <f>'IS(회사)'!C43</f>
        <v>4491521</v>
      </c>
      <c r="H180" s="391"/>
      <c r="I180" s="391"/>
      <c r="J180" s="391"/>
      <c r="K180" s="391">
        <f t="shared" si="10"/>
        <v>4491521</v>
      </c>
      <c r="L180" s="1007"/>
      <c r="M180" s="1007"/>
      <c r="N180" s="1013">
        <f t="shared" si="11"/>
        <v>341355.59600000002</v>
      </c>
      <c r="O180" s="998"/>
    </row>
    <row r="181" spans="1:15" ht="21.75" customHeight="1">
      <c r="A181" s="2"/>
      <c r="B181" s="33" t="s">
        <v>62</v>
      </c>
      <c r="C181" s="29" t="str">
        <f>'IS(회사)'!B44</f>
        <v xml:space="preserve">      교육훈련비</v>
      </c>
      <c r="D181" s="31"/>
      <c r="E181" s="391">
        <f>'IS(회사)'!E44</f>
        <v>7922660</v>
      </c>
      <c r="F181" s="391"/>
      <c r="G181" s="391">
        <f>'IS(회사)'!C44</f>
        <v>1945245</v>
      </c>
      <c r="H181" s="391"/>
      <c r="I181" s="391"/>
      <c r="J181" s="391"/>
      <c r="K181" s="391">
        <f t="shared" si="10"/>
        <v>1945245</v>
      </c>
      <c r="L181" s="1007"/>
      <c r="M181" s="1007"/>
      <c r="N181" s="1013">
        <f t="shared" si="11"/>
        <v>147838.62</v>
      </c>
      <c r="O181" s="998"/>
    </row>
    <row r="182" spans="1:15" ht="21.75" customHeight="1">
      <c r="A182" s="2"/>
      <c r="B182" s="33" t="s">
        <v>76</v>
      </c>
      <c r="C182" s="29" t="str">
        <f>'IS(회사)'!B45</f>
        <v xml:space="preserve">      여비교통비</v>
      </c>
      <c r="D182" s="31"/>
      <c r="E182" s="391">
        <f>'IS(회사)'!E45</f>
        <v>987080</v>
      </c>
      <c r="F182" s="391"/>
      <c r="G182" s="391">
        <f>'IS(회사)'!C45</f>
        <v>508300</v>
      </c>
      <c r="H182" s="391"/>
      <c r="I182" s="391"/>
      <c r="J182" s="391"/>
      <c r="K182" s="391">
        <f t="shared" si="10"/>
        <v>508300</v>
      </c>
      <c r="L182" s="1007"/>
      <c r="M182" s="1007"/>
      <c r="N182" s="1013">
        <f t="shared" si="11"/>
        <v>38630.799999999996</v>
      </c>
      <c r="O182" s="998"/>
    </row>
    <row r="183" spans="1:15" ht="21.75" customHeight="1">
      <c r="A183" s="2"/>
      <c r="B183" s="33" t="s">
        <v>3014</v>
      </c>
      <c r="C183" s="29" t="str">
        <f>'IS(회사)'!B46</f>
        <v xml:space="preserve">      세금과공과</v>
      </c>
      <c r="D183" s="31"/>
      <c r="E183" s="391">
        <f>'IS(회사)'!E46</f>
        <v>10475964</v>
      </c>
      <c r="F183" s="391"/>
      <c r="G183" s="391">
        <f>'IS(회사)'!C46</f>
        <v>10810872</v>
      </c>
      <c r="H183" s="391"/>
      <c r="I183" s="391"/>
      <c r="J183" s="391"/>
      <c r="K183" s="391">
        <f t="shared" si="10"/>
        <v>10810872</v>
      </c>
      <c r="L183" s="1007"/>
      <c r="M183" s="1007"/>
      <c r="N183" s="1013">
        <f t="shared" si="11"/>
        <v>821626.272</v>
      </c>
      <c r="O183" s="998"/>
    </row>
    <row r="184" spans="1:15" ht="21.75" customHeight="1">
      <c r="A184" s="2"/>
      <c r="B184" s="33" t="s">
        <v>3015</v>
      </c>
      <c r="C184" s="29" t="str">
        <f>'IS(회사)'!B47</f>
        <v xml:space="preserve">      보험료</v>
      </c>
      <c r="D184" s="31"/>
      <c r="E184" s="391">
        <f>'IS(회사)'!E47</f>
        <v>1283476</v>
      </c>
      <c r="F184" s="391"/>
      <c r="G184" s="391">
        <f>'IS(회사)'!C47</f>
        <v>1229872</v>
      </c>
      <c r="H184" s="391"/>
      <c r="I184" s="391"/>
      <c r="J184" s="391"/>
      <c r="K184" s="391">
        <f t="shared" si="10"/>
        <v>1229872</v>
      </c>
      <c r="L184" s="1007"/>
      <c r="M184" s="1007"/>
      <c r="N184" s="1013">
        <f t="shared" si="11"/>
        <v>93470.271999999997</v>
      </c>
      <c r="O184" s="998"/>
    </row>
    <row r="185" spans="1:15" s="1005" customFormat="1" ht="21.75" customHeight="1">
      <c r="A185" s="1000"/>
      <c r="B185" s="1001" t="s">
        <v>3016</v>
      </c>
      <c r="C185" s="1002" t="str">
        <f>'IS(회사)'!B48</f>
        <v xml:space="preserve">      수도광열비</v>
      </c>
      <c r="D185" s="1003"/>
      <c r="E185" s="1004">
        <f>'IS(회사)'!E48</f>
        <v>9715850</v>
      </c>
      <c r="F185" s="1004"/>
      <c r="G185" s="1004">
        <f>'IS(회사)'!C48</f>
        <v>9207020</v>
      </c>
      <c r="H185" s="1004"/>
      <c r="I185" s="1004"/>
      <c r="J185" s="1004"/>
      <c r="K185" s="1004">
        <f t="shared" si="10"/>
        <v>9207020</v>
      </c>
      <c r="L185" s="1008"/>
      <c r="M185" s="1008"/>
      <c r="N185" s="1013">
        <f>+K185*$N$126</f>
        <v>6012184.0600000005</v>
      </c>
      <c r="O185" s="1014"/>
    </row>
    <row r="186" spans="1:15" ht="21.75" customHeight="1">
      <c r="A186" s="2"/>
      <c r="B186" s="33" t="s">
        <v>3017</v>
      </c>
      <c r="C186" s="29" t="str">
        <f>'IS(회사)'!B49</f>
        <v xml:space="preserve">      통신비</v>
      </c>
      <c r="D186" s="31"/>
      <c r="E186" s="391">
        <f>'IS(회사)'!E49</f>
        <v>5382700</v>
      </c>
      <c r="F186" s="391"/>
      <c r="G186" s="391">
        <f>'IS(회사)'!C49</f>
        <v>2069800</v>
      </c>
      <c r="H186" s="391"/>
      <c r="I186" s="391"/>
      <c r="J186" s="391"/>
      <c r="K186" s="391">
        <f t="shared" si="10"/>
        <v>2069800</v>
      </c>
      <c r="L186" s="1007"/>
      <c r="M186" s="1007"/>
      <c r="N186" s="1013">
        <f t="shared" si="11"/>
        <v>157304.79999999999</v>
      </c>
      <c r="O186" s="998"/>
    </row>
    <row r="187" spans="1:15" ht="21.75" customHeight="1">
      <c r="A187" s="2"/>
      <c r="B187" s="33" t="s">
        <v>3018</v>
      </c>
      <c r="C187" s="29" t="str">
        <f>'IS(회사)'!B50</f>
        <v xml:space="preserve">      운.발송비</v>
      </c>
      <c r="D187" s="31"/>
      <c r="E187" s="391">
        <f>'IS(회사)'!E50</f>
        <v>505700</v>
      </c>
      <c r="F187" s="391"/>
      <c r="G187" s="391">
        <f>'IS(회사)'!C50</f>
        <v>590860</v>
      </c>
      <c r="H187" s="391"/>
      <c r="I187" s="391"/>
      <c r="J187" s="391"/>
      <c r="K187" s="391">
        <f t="shared" si="10"/>
        <v>590860</v>
      </c>
      <c r="L187" s="1007"/>
      <c r="M187" s="1007"/>
      <c r="N187" s="1013">
        <f t="shared" si="11"/>
        <v>44905.36</v>
      </c>
      <c r="O187" s="998"/>
    </row>
    <row r="188" spans="1:15" ht="21.75" customHeight="1">
      <c r="A188" s="2"/>
      <c r="B188" s="33" t="s">
        <v>3019</v>
      </c>
      <c r="C188" s="29" t="str">
        <f>'IS(회사)'!B51</f>
        <v xml:space="preserve">      수수료비용</v>
      </c>
      <c r="D188" s="31"/>
      <c r="E188" s="391">
        <f>'IS(회사)'!E51</f>
        <v>19532646</v>
      </c>
      <c r="F188" s="391"/>
      <c r="G188" s="391">
        <f>'IS(회사)'!C51</f>
        <v>20346064</v>
      </c>
      <c r="H188" s="391"/>
      <c r="I188" s="391"/>
      <c r="J188" s="391"/>
      <c r="K188" s="391">
        <f t="shared" si="10"/>
        <v>20346064</v>
      </c>
      <c r="L188" s="1007"/>
      <c r="M188" s="1007"/>
      <c r="N188" s="1013">
        <f t="shared" si="11"/>
        <v>1546300.8640000001</v>
      </c>
      <c r="O188" s="998"/>
    </row>
    <row r="189" spans="1:15" ht="21.75" customHeight="1">
      <c r="A189" s="2"/>
      <c r="B189" s="33" t="s">
        <v>3020</v>
      </c>
      <c r="C189" s="29" t="str">
        <f>'IS(회사)'!B52</f>
        <v xml:space="preserve">      도서인쇄비</v>
      </c>
      <c r="D189" s="31"/>
      <c r="E189" s="391">
        <f>'IS(회사)'!E52</f>
        <v>878800</v>
      </c>
      <c r="F189" s="391"/>
      <c r="G189" s="391">
        <f>'IS(회사)'!C52</f>
        <v>672100</v>
      </c>
      <c r="H189" s="391"/>
      <c r="I189" s="391"/>
      <c r="J189" s="391"/>
      <c r="K189" s="391">
        <f t="shared" si="10"/>
        <v>672100</v>
      </c>
      <c r="L189" s="1007"/>
      <c r="M189" s="1007"/>
      <c r="N189" s="1013">
        <f t="shared" si="11"/>
        <v>51079.6</v>
      </c>
      <c r="O189" s="998"/>
    </row>
    <row r="190" spans="1:15" ht="21.75" customHeight="1">
      <c r="A190" s="2"/>
      <c r="B190" s="33" t="s">
        <v>3021</v>
      </c>
      <c r="C190" s="29" t="str">
        <f>'IS(회사)'!B53</f>
        <v xml:space="preserve">      사무용품비</v>
      </c>
      <c r="D190" s="31"/>
      <c r="E190" s="391">
        <f>'IS(회사)'!E53</f>
        <v>8871710</v>
      </c>
      <c r="F190" s="391"/>
      <c r="G190" s="391">
        <f>'IS(회사)'!C53</f>
        <v>3406652</v>
      </c>
      <c r="H190" s="391"/>
      <c r="I190" s="391"/>
      <c r="J190" s="391"/>
      <c r="K190" s="391">
        <f t="shared" si="10"/>
        <v>3406652</v>
      </c>
      <c r="L190" s="1007"/>
      <c r="M190" s="1007"/>
      <c r="N190" s="1013">
        <f t="shared" si="11"/>
        <v>258905.552</v>
      </c>
      <c r="O190" s="998"/>
    </row>
    <row r="191" spans="1:15" ht="21.75" customHeight="1">
      <c r="A191" s="2"/>
      <c r="B191" s="33" t="s">
        <v>110</v>
      </c>
      <c r="C191" s="29" t="str">
        <f>'IS(회사)'!B54</f>
        <v xml:space="preserve">      수선비</v>
      </c>
      <c r="D191" s="31"/>
      <c r="E191" s="391">
        <f>'IS(회사)'!E54</f>
        <v>487800</v>
      </c>
      <c r="F191" s="391"/>
      <c r="G191" s="391">
        <f>'IS(회사)'!C54</f>
        <v>50000</v>
      </c>
      <c r="H191" s="391"/>
      <c r="I191" s="391"/>
      <c r="J191" s="391"/>
      <c r="K191" s="391">
        <f t="shared" si="10"/>
        <v>50000</v>
      </c>
      <c r="L191" s="1007"/>
      <c r="M191" s="1007"/>
      <c r="N191" s="1013">
        <f t="shared" si="11"/>
        <v>3800</v>
      </c>
      <c r="O191" s="998"/>
    </row>
    <row r="192" spans="1:15" ht="21.75" customHeight="1">
      <c r="A192" s="2"/>
      <c r="B192" s="33" t="s">
        <v>3022</v>
      </c>
      <c r="C192" s="29" t="str">
        <f>'IS(회사)'!B55</f>
        <v xml:space="preserve">      기타경상비</v>
      </c>
      <c r="D192" s="31"/>
      <c r="E192" s="391">
        <f>'IS(회사)'!E55</f>
        <v>510750</v>
      </c>
      <c r="F192" s="391"/>
      <c r="G192" s="391">
        <f>'IS(회사)'!C55</f>
        <v>7400</v>
      </c>
      <c r="H192" s="391"/>
      <c r="I192" s="391"/>
      <c r="J192" s="391"/>
      <c r="K192" s="391">
        <f t="shared" si="10"/>
        <v>7400</v>
      </c>
      <c r="L192" s="1007"/>
      <c r="M192" s="1007"/>
      <c r="N192" s="1013">
        <f t="shared" si="11"/>
        <v>562.4</v>
      </c>
      <c r="O192" s="998"/>
    </row>
    <row r="193" spans="1:15" s="1005" customFormat="1" ht="21.75" customHeight="1">
      <c r="A193" s="1000"/>
      <c r="B193" s="1001" t="s">
        <v>3023</v>
      </c>
      <c r="C193" s="1002" t="str">
        <f>'IS(회사)'!B56</f>
        <v xml:space="preserve">      감가상각비</v>
      </c>
      <c r="D193" s="1003"/>
      <c r="E193" s="1004">
        <f>'IS(회사)'!E56</f>
        <v>76858853</v>
      </c>
      <c r="F193" s="1004"/>
      <c r="G193" s="1004">
        <f>'IS(회사)'!C56</f>
        <v>85184908</v>
      </c>
      <c r="H193" s="1004"/>
      <c r="I193" s="1004"/>
      <c r="J193" s="1004">
        <f>'PA(R)JE'!I17+'PA(R)JE'!I20+'PA(R)JE'!I22</f>
        <v>9199415</v>
      </c>
      <c r="K193" s="1004">
        <f t="shared" si="10"/>
        <v>75985493</v>
      </c>
      <c r="L193" s="1008"/>
      <c r="M193" s="1008"/>
      <c r="N193" s="1013">
        <f>+K193*$N$126</f>
        <v>49618526.929000005</v>
      </c>
      <c r="O193" s="1014"/>
    </row>
    <row r="194" spans="1:15" s="1005" customFormat="1" ht="21.75" customHeight="1">
      <c r="A194" s="1000"/>
      <c r="B194" s="1001" t="s">
        <v>3024</v>
      </c>
      <c r="C194" s="1002" t="str">
        <f>'IS(회사)'!B57</f>
        <v xml:space="preserve">      자산취득비</v>
      </c>
      <c r="D194" s="1003"/>
      <c r="E194" s="1004">
        <f>'IS(회사)'!E57</f>
        <v>499200</v>
      </c>
      <c r="F194" s="1004"/>
      <c r="G194" s="1004">
        <f>'IS(회사)'!C57</f>
        <v>0</v>
      </c>
      <c r="H194" s="1004"/>
      <c r="I194" s="1004"/>
      <c r="J194" s="1004"/>
      <c r="K194" s="1004">
        <f t="shared" si="10"/>
        <v>0</v>
      </c>
      <c r="L194" s="1008"/>
      <c r="M194" s="1008"/>
      <c r="N194" s="1013">
        <f t="shared" si="11"/>
        <v>0</v>
      </c>
      <c r="O194" s="1014"/>
    </row>
    <row r="195" spans="1:15" s="1005" customFormat="1" ht="21.75" customHeight="1">
      <c r="A195" s="1000"/>
      <c r="B195" s="1001" t="s">
        <v>3025</v>
      </c>
      <c r="C195" s="1002" t="str">
        <f>'IS(회사)'!B58</f>
        <v xml:space="preserve">      시설장비유지비</v>
      </c>
      <c r="D195" s="1003"/>
      <c r="E195" s="1004">
        <f>'IS(회사)'!E58</f>
        <v>20905410</v>
      </c>
      <c r="F195" s="1004"/>
      <c r="G195" s="1004">
        <f>'IS(회사)'!C58</f>
        <v>20897380</v>
      </c>
      <c r="H195" s="1004"/>
      <c r="I195" s="1004">
        <f>'PA(R)JE'!E20</f>
        <v>1500000</v>
      </c>
      <c r="J195" s="1004"/>
      <c r="K195" s="1004">
        <f t="shared" si="10"/>
        <v>22397380</v>
      </c>
      <c r="L195" s="1008"/>
      <c r="M195" s="1008"/>
      <c r="N195" s="1013">
        <f>+K195*$N$126</f>
        <v>14625489.140000001</v>
      </c>
      <c r="O195" s="1014"/>
    </row>
    <row r="196" spans="1:15" ht="21.75" customHeight="1">
      <c r="A196" s="2"/>
      <c r="B196" s="33" t="s">
        <v>3026</v>
      </c>
      <c r="C196" s="29" t="str">
        <f>'IS(회사)'!B59</f>
        <v xml:space="preserve">      잡지출</v>
      </c>
      <c r="D196" s="31"/>
      <c r="E196" s="391">
        <f>'IS(회사)'!E59</f>
        <v>58400</v>
      </c>
      <c r="F196" s="391"/>
      <c r="G196" s="391">
        <f>'IS(회사)'!C59</f>
        <v>19630</v>
      </c>
      <c r="H196" s="391"/>
      <c r="I196" s="391"/>
      <c r="J196" s="391"/>
      <c r="K196" s="391">
        <f t="shared" si="10"/>
        <v>19630</v>
      </c>
      <c r="L196" s="1007"/>
      <c r="M196" s="1007"/>
      <c r="N196" s="1013">
        <f t="shared" si="11"/>
        <v>1491.8799999999999</v>
      </c>
      <c r="O196" s="998"/>
    </row>
    <row r="197" spans="1:15" ht="21.75" customHeight="1">
      <c r="A197" s="2"/>
      <c r="B197" s="33" t="s">
        <v>3027</v>
      </c>
      <c r="C197" s="29" t="str">
        <f>'IS(회사)'!B60</f>
        <v xml:space="preserve">      퇴직급여</v>
      </c>
      <c r="D197" s="31"/>
      <c r="E197" s="391">
        <f>'IS(회사)'!E60</f>
        <v>44027322</v>
      </c>
      <c r="F197" s="391"/>
      <c r="G197" s="391">
        <f>'IS(회사)'!C60</f>
        <v>56497350</v>
      </c>
      <c r="H197" s="392"/>
      <c r="I197" s="391"/>
      <c r="J197" s="391"/>
      <c r="K197" s="391">
        <f t="shared" si="10"/>
        <v>56497350</v>
      </c>
      <c r="L197" s="1009"/>
      <c r="M197" s="1009"/>
      <c r="N197" s="1013">
        <f t="shared" si="11"/>
        <v>4293798.5999999996</v>
      </c>
      <c r="O197" s="998"/>
    </row>
    <row r="198" spans="1:15" ht="21.75" customHeight="1">
      <c r="A198" s="2" t="s">
        <v>63</v>
      </c>
      <c r="B198" s="29" t="s">
        <v>378</v>
      </c>
      <c r="C198" s="12"/>
      <c r="D198" s="31"/>
      <c r="E198" s="391"/>
      <c r="F198" s="404">
        <f>SUM(F160,-F161)</f>
        <v>-932748846</v>
      </c>
      <c r="G198" s="391"/>
      <c r="H198" s="391">
        <f>SUM(H160,-H161)</f>
        <v>-301676088</v>
      </c>
      <c r="I198" s="391"/>
      <c r="J198" s="391"/>
      <c r="K198" s="391"/>
      <c r="L198" s="1007">
        <f>SUM(L160,-L161)</f>
        <v>-268550969</v>
      </c>
      <c r="M198" s="1007"/>
      <c r="N198" s="998"/>
      <c r="O198" s="998"/>
    </row>
    <row r="199" spans="1:15" ht="21.75" customHeight="1">
      <c r="A199" s="2" t="s">
        <v>64</v>
      </c>
      <c r="B199" s="29" t="s">
        <v>65</v>
      </c>
      <c r="C199" s="12"/>
      <c r="D199" s="31"/>
      <c r="E199" s="391"/>
      <c r="F199" s="391">
        <f>SUM(E200:E206)</f>
        <v>0</v>
      </c>
      <c r="G199" s="391"/>
      <c r="H199" s="391">
        <f>SUM(G200:G206)</f>
        <v>0</v>
      </c>
      <c r="I199" s="391"/>
      <c r="J199" s="391"/>
      <c r="K199" s="391"/>
      <c r="L199" s="1007">
        <f>SUM(K200:K206)</f>
        <v>0</v>
      </c>
      <c r="M199" s="1007"/>
      <c r="N199" s="998"/>
      <c r="O199" s="998"/>
    </row>
    <row r="200" spans="1:15" ht="21.75" hidden="1" customHeight="1">
      <c r="A200" s="2"/>
      <c r="B200" s="33" t="s">
        <v>25</v>
      </c>
      <c r="C200" s="29" t="e">
        <f>#REF!</f>
        <v>#REF!</v>
      </c>
      <c r="D200" s="31"/>
      <c r="E200" s="391"/>
      <c r="F200" s="391"/>
      <c r="G200" s="391"/>
      <c r="H200" s="391"/>
      <c r="I200" s="391"/>
      <c r="J200" s="391"/>
      <c r="K200" s="391">
        <f t="shared" ref="K200:K206" si="12">G200-I200+J200</f>
        <v>0</v>
      </c>
      <c r="L200" s="1007"/>
      <c r="M200" s="1007"/>
      <c r="N200" s="998"/>
      <c r="O200" s="998"/>
    </row>
    <row r="201" spans="1:15" ht="21.75" hidden="1" customHeight="1">
      <c r="A201" s="2"/>
      <c r="B201" s="33" t="s">
        <v>34</v>
      </c>
      <c r="C201" s="29" t="e">
        <f>#REF!</f>
        <v>#REF!</v>
      </c>
      <c r="D201" s="31"/>
      <c r="E201" s="391"/>
      <c r="F201" s="391"/>
      <c r="G201" s="391"/>
      <c r="H201" s="391"/>
      <c r="I201" s="391"/>
      <c r="J201" s="391"/>
      <c r="K201" s="391">
        <f t="shared" si="12"/>
        <v>0</v>
      </c>
      <c r="L201" s="1007"/>
      <c r="M201" s="1007"/>
      <c r="N201" s="998"/>
      <c r="O201" s="998"/>
    </row>
    <row r="202" spans="1:15" ht="21.75" hidden="1" customHeight="1">
      <c r="A202" s="2"/>
      <c r="B202" s="33" t="s">
        <v>35</v>
      </c>
      <c r="C202" s="29" t="e">
        <f>#REF!</f>
        <v>#REF!</v>
      </c>
      <c r="D202" s="31"/>
      <c r="E202" s="391"/>
      <c r="F202" s="391"/>
      <c r="G202" s="391"/>
      <c r="H202" s="391"/>
      <c r="I202" s="391"/>
      <c r="J202" s="391"/>
      <c r="K202" s="391">
        <f t="shared" si="12"/>
        <v>0</v>
      </c>
      <c r="L202" s="1007"/>
      <c r="M202" s="1007"/>
      <c r="N202" s="998"/>
      <c r="O202" s="998"/>
    </row>
    <row r="203" spans="1:15" ht="21.75" hidden="1" customHeight="1">
      <c r="A203" s="2"/>
      <c r="B203" s="33" t="s">
        <v>36</v>
      </c>
      <c r="C203" s="29" t="e">
        <f>#REF!</f>
        <v>#REF!</v>
      </c>
      <c r="D203" s="31"/>
      <c r="E203" s="391"/>
      <c r="F203" s="391"/>
      <c r="G203" s="391"/>
      <c r="H203" s="391"/>
      <c r="I203" s="391"/>
      <c r="J203" s="391"/>
      <c r="K203" s="391">
        <f t="shared" si="12"/>
        <v>0</v>
      </c>
      <c r="L203" s="1007"/>
      <c r="M203" s="1007"/>
      <c r="N203" s="998"/>
      <c r="O203" s="998"/>
    </row>
    <row r="204" spans="1:15" ht="21.75" hidden="1" customHeight="1">
      <c r="A204" s="2"/>
      <c r="B204" s="33" t="s">
        <v>39</v>
      </c>
      <c r="C204" s="29" t="e">
        <f>#REF!</f>
        <v>#REF!</v>
      </c>
      <c r="D204" s="31"/>
      <c r="E204" s="391"/>
      <c r="F204" s="391"/>
      <c r="G204" s="391"/>
      <c r="H204" s="391"/>
      <c r="I204" s="391"/>
      <c r="J204" s="391"/>
      <c r="K204" s="391">
        <f t="shared" si="12"/>
        <v>0</v>
      </c>
      <c r="L204" s="1007"/>
      <c r="M204" s="1007"/>
      <c r="N204" s="998"/>
      <c r="O204" s="998"/>
    </row>
    <row r="205" spans="1:15" ht="21.75" hidden="1" customHeight="1">
      <c r="A205" s="2"/>
      <c r="B205" s="33" t="s">
        <v>43</v>
      </c>
      <c r="C205" s="29" t="e">
        <f>#REF!</f>
        <v>#REF!</v>
      </c>
      <c r="D205" s="31"/>
      <c r="E205" s="391"/>
      <c r="F205" s="391"/>
      <c r="G205" s="391"/>
      <c r="H205" s="391"/>
      <c r="I205" s="391"/>
      <c r="J205" s="391"/>
      <c r="K205" s="391">
        <f t="shared" si="12"/>
        <v>0</v>
      </c>
      <c r="L205" s="1007"/>
      <c r="M205" s="1007"/>
      <c r="N205" s="998"/>
      <c r="O205" s="998"/>
    </row>
    <row r="206" spans="1:15" ht="21.75" hidden="1" customHeight="1">
      <c r="A206" s="2"/>
      <c r="B206" s="33" t="s">
        <v>44</v>
      </c>
      <c r="C206" s="29" t="s">
        <v>1078</v>
      </c>
      <c r="D206" s="31"/>
      <c r="E206" s="391"/>
      <c r="F206" s="391"/>
      <c r="G206" s="391"/>
      <c r="H206" s="391"/>
      <c r="I206" s="391"/>
      <c r="J206" s="391"/>
      <c r="K206" s="391">
        <f t="shared" si="12"/>
        <v>0</v>
      </c>
      <c r="L206" s="1007"/>
      <c r="M206" s="1007"/>
      <c r="N206" s="998"/>
      <c r="O206" s="998"/>
    </row>
    <row r="207" spans="1:15" ht="21.75" customHeight="1">
      <c r="A207" s="2" t="s">
        <v>66</v>
      </c>
      <c r="B207" s="29" t="s">
        <v>67</v>
      </c>
      <c r="C207" s="12"/>
      <c r="D207" s="30"/>
      <c r="E207" s="391"/>
      <c r="F207" s="391">
        <f>SUM(E208:E218)</f>
        <v>675432</v>
      </c>
      <c r="G207" s="391"/>
      <c r="H207" s="391">
        <f>SUM(G208:G218)</f>
        <v>39754</v>
      </c>
      <c r="I207" s="391"/>
      <c r="J207" s="391"/>
      <c r="K207" s="391"/>
      <c r="L207" s="1007">
        <f>SUM(K208:K218)</f>
        <v>39754</v>
      </c>
      <c r="M207" s="1007"/>
      <c r="N207" s="998"/>
      <c r="O207" s="998"/>
    </row>
    <row r="208" spans="1:15" ht="21.75" customHeight="1">
      <c r="A208" s="2"/>
      <c r="B208" s="33" t="s">
        <v>25</v>
      </c>
      <c r="C208" s="29" t="str">
        <f>'IS(회사)'!B64</f>
        <v xml:space="preserve">      외   환    차   손</v>
      </c>
      <c r="D208" s="30"/>
      <c r="E208" s="391">
        <f>'IS(회사)'!E64</f>
        <v>0</v>
      </c>
      <c r="F208" s="391"/>
      <c r="G208" s="391">
        <f>'IS(회사)'!C64</f>
        <v>39754</v>
      </c>
      <c r="H208" s="391"/>
      <c r="I208" s="391"/>
      <c r="J208" s="391"/>
      <c r="K208" s="391">
        <f>G208+I208-J208</f>
        <v>39754</v>
      </c>
      <c r="L208" s="1007"/>
      <c r="M208" s="1007"/>
      <c r="N208" s="998"/>
      <c r="O208" s="998"/>
    </row>
    <row r="209" spans="1:15" ht="21.75" customHeight="1">
      <c r="A209" s="2"/>
      <c r="B209" s="33" t="s">
        <v>34</v>
      </c>
      <c r="C209" s="29" t="str">
        <f>'IS(회사)'!B65</f>
        <v xml:space="preserve">      외 화  환 산 손 실</v>
      </c>
      <c r="D209" s="30"/>
      <c r="E209" s="391">
        <f>'IS(회사)'!E65</f>
        <v>675432</v>
      </c>
      <c r="F209" s="391"/>
      <c r="G209" s="391">
        <f>'IS(회사)'!C65</f>
        <v>0</v>
      </c>
      <c r="H209" s="391"/>
      <c r="I209" s="391"/>
      <c r="J209" s="391"/>
      <c r="K209" s="391">
        <f t="shared" ref="K209:K218" si="13">G209+I209-J209</f>
        <v>0</v>
      </c>
      <c r="L209" s="1007"/>
      <c r="M209" s="1007"/>
      <c r="N209" s="998"/>
      <c r="O209" s="998"/>
    </row>
    <row r="210" spans="1:15" ht="21.75" hidden="1" customHeight="1">
      <c r="A210" s="2"/>
      <c r="B210" s="33" t="s">
        <v>35</v>
      </c>
      <c r="C210" s="29" t="e">
        <f>#REF!</f>
        <v>#REF!</v>
      </c>
      <c r="D210" s="30"/>
      <c r="E210" s="391"/>
      <c r="F210" s="391"/>
      <c r="G210" s="391"/>
      <c r="H210" s="391"/>
      <c r="I210" s="391"/>
      <c r="J210" s="391"/>
      <c r="K210" s="391">
        <f t="shared" si="13"/>
        <v>0</v>
      </c>
      <c r="L210" s="1007"/>
      <c r="M210" s="1007"/>
      <c r="N210" s="998"/>
      <c r="O210" s="998"/>
    </row>
    <row r="211" spans="1:15" ht="21.75" hidden="1" customHeight="1">
      <c r="A211" s="2"/>
      <c r="B211" s="33" t="s">
        <v>36</v>
      </c>
      <c r="C211" s="29" t="e">
        <f>#REF!</f>
        <v>#REF!</v>
      </c>
      <c r="D211" s="30"/>
      <c r="E211" s="391"/>
      <c r="F211" s="391"/>
      <c r="G211" s="391"/>
      <c r="H211" s="391"/>
      <c r="I211" s="391"/>
      <c r="J211" s="391"/>
      <c r="K211" s="391">
        <f t="shared" si="13"/>
        <v>0</v>
      </c>
      <c r="L211" s="1007"/>
      <c r="M211" s="1007"/>
      <c r="N211" s="998"/>
      <c r="O211" s="998"/>
    </row>
    <row r="212" spans="1:15" ht="21.75" hidden="1" customHeight="1">
      <c r="A212" s="2"/>
      <c r="B212" s="33" t="s">
        <v>39</v>
      </c>
      <c r="C212" s="29" t="e">
        <f>#REF!</f>
        <v>#REF!</v>
      </c>
      <c r="D212" s="30"/>
      <c r="E212" s="391"/>
      <c r="F212" s="391"/>
      <c r="G212" s="391"/>
      <c r="H212" s="391"/>
      <c r="I212" s="391"/>
      <c r="J212" s="391"/>
      <c r="K212" s="391">
        <f t="shared" si="13"/>
        <v>0</v>
      </c>
      <c r="L212" s="1007"/>
      <c r="M212" s="1007"/>
      <c r="N212" s="998"/>
      <c r="O212" s="998"/>
    </row>
    <row r="213" spans="1:15" ht="21.75" hidden="1" customHeight="1">
      <c r="A213" s="2"/>
      <c r="B213" s="33" t="s">
        <v>43</v>
      </c>
      <c r="C213" s="29" t="e">
        <f>#REF!</f>
        <v>#REF!</v>
      </c>
      <c r="D213" s="30"/>
      <c r="E213" s="391"/>
      <c r="F213" s="391"/>
      <c r="G213" s="391"/>
      <c r="H213" s="391"/>
      <c r="I213" s="391"/>
      <c r="J213" s="391"/>
      <c r="K213" s="391">
        <f t="shared" si="13"/>
        <v>0</v>
      </c>
      <c r="L213" s="1007"/>
      <c r="M213" s="1007"/>
      <c r="N213" s="998"/>
      <c r="O213" s="998"/>
    </row>
    <row r="214" spans="1:15" ht="21.75" hidden="1" customHeight="1">
      <c r="A214" s="2"/>
      <c r="B214" s="33" t="s">
        <v>44</v>
      </c>
      <c r="C214" s="29" t="e">
        <f>#REF!</f>
        <v>#REF!</v>
      </c>
      <c r="D214" s="30"/>
      <c r="E214" s="391"/>
      <c r="F214" s="391"/>
      <c r="G214" s="391"/>
      <c r="H214" s="391"/>
      <c r="I214" s="391"/>
      <c r="J214" s="391"/>
      <c r="K214" s="391">
        <f t="shared" si="13"/>
        <v>0</v>
      </c>
      <c r="L214" s="1007"/>
      <c r="M214" s="1007"/>
      <c r="N214" s="998"/>
      <c r="O214" s="998"/>
    </row>
    <row r="215" spans="1:15" ht="21.75" hidden="1" customHeight="1">
      <c r="A215" s="2"/>
      <c r="B215" s="33" t="s">
        <v>45</v>
      </c>
      <c r="C215" s="29" t="e">
        <f>#REF!</f>
        <v>#REF!</v>
      </c>
      <c r="D215" s="30"/>
      <c r="E215" s="391"/>
      <c r="F215" s="391"/>
      <c r="G215" s="391"/>
      <c r="H215" s="391"/>
      <c r="I215" s="391"/>
      <c r="J215" s="391"/>
      <c r="K215" s="391">
        <f t="shared" si="13"/>
        <v>0</v>
      </c>
      <c r="L215" s="1007"/>
      <c r="M215" s="1007"/>
      <c r="N215" s="998"/>
      <c r="O215" s="998"/>
    </row>
    <row r="216" spans="1:15" ht="21.75" hidden="1" customHeight="1">
      <c r="A216" s="2"/>
      <c r="B216" s="33" t="s">
        <v>46</v>
      </c>
      <c r="C216" s="29" t="e">
        <f>#REF!</f>
        <v>#REF!</v>
      </c>
      <c r="D216" s="30"/>
      <c r="E216" s="391"/>
      <c r="F216" s="391"/>
      <c r="G216" s="391"/>
      <c r="H216" s="391"/>
      <c r="I216" s="391"/>
      <c r="J216" s="391"/>
      <c r="K216" s="391">
        <f t="shared" si="13"/>
        <v>0</v>
      </c>
      <c r="L216" s="1007"/>
      <c r="M216" s="1007"/>
      <c r="N216" s="998"/>
      <c r="O216" s="998"/>
    </row>
    <row r="217" spans="1:15" ht="21.75" hidden="1" customHeight="1">
      <c r="A217" s="2"/>
      <c r="B217" s="33" t="s">
        <v>41</v>
      </c>
      <c r="C217" s="29" t="e">
        <f>#REF!</f>
        <v>#REF!</v>
      </c>
      <c r="D217" s="30"/>
      <c r="E217" s="391"/>
      <c r="F217" s="391"/>
      <c r="G217" s="391"/>
      <c r="H217" s="391"/>
      <c r="I217" s="391"/>
      <c r="J217" s="391"/>
      <c r="K217" s="391">
        <f t="shared" si="13"/>
        <v>0</v>
      </c>
      <c r="L217" s="1007"/>
      <c r="M217" s="1007"/>
      <c r="N217" s="998"/>
      <c r="O217" s="998"/>
    </row>
    <row r="218" spans="1:15" ht="21.75" hidden="1" customHeight="1">
      <c r="A218" s="2"/>
      <c r="B218" s="33" t="s">
        <v>53</v>
      </c>
      <c r="C218" s="29" t="s">
        <v>1078</v>
      </c>
      <c r="D218" s="30"/>
      <c r="E218" s="391"/>
      <c r="F218" s="392"/>
      <c r="G218" s="391"/>
      <c r="H218" s="392"/>
      <c r="I218" s="391"/>
      <c r="J218" s="391"/>
      <c r="K218" s="391">
        <f t="shared" si="13"/>
        <v>0</v>
      </c>
      <c r="L218" s="1009"/>
      <c r="M218" s="1009"/>
      <c r="N218" s="998"/>
      <c r="O218" s="998"/>
    </row>
    <row r="219" spans="1:15" ht="21.75" customHeight="1">
      <c r="A219" s="2" t="s">
        <v>68</v>
      </c>
      <c r="B219" s="29" t="s">
        <v>379</v>
      </c>
      <c r="C219" s="12"/>
      <c r="D219" s="30"/>
      <c r="E219" s="391"/>
      <c r="F219" s="391">
        <f>F198+F199-F207</f>
        <v>-933424278</v>
      </c>
      <c r="G219" s="391"/>
      <c r="H219" s="391">
        <f>H198+H199-H207</f>
        <v>-301715842</v>
      </c>
      <c r="I219" s="391"/>
      <c r="J219" s="391"/>
      <c r="K219" s="391"/>
      <c r="L219" s="1007">
        <f>L198+L199-L207</f>
        <v>-268590723</v>
      </c>
      <c r="M219" s="1007"/>
      <c r="N219" s="998"/>
      <c r="O219" s="998"/>
    </row>
    <row r="220" spans="1:15" ht="21.75" customHeight="1">
      <c r="A220" s="2" t="s">
        <v>69</v>
      </c>
      <c r="B220" s="39" t="s">
        <v>380</v>
      </c>
      <c r="C220" s="12"/>
      <c r="D220" s="30"/>
      <c r="E220" s="391"/>
      <c r="F220" s="391">
        <f>'IS(회사)'!F67</f>
        <v>0</v>
      </c>
      <c r="G220" s="391"/>
      <c r="H220" s="391">
        <f>'IS(회사)'!D67</f>
        <v>0</v>
      </c>
      <c r="I220" s="391"/>
      <c r="J220" s="391"/>
      <c r="K220" s="391"/>
      <c r="L220" s="1007">
        <f>H220+I220-J220</f>
        <v>0</v>
      </c>
      <c r="M220" s="1007"/>
      <c r="N220" s="998"/>
      <c r="O220" s="998"/>
    </row>
    <row r="221" spans="1:15" ht="21.75" customHeight="1" thickBot="1">
      <c r="A221" s="51" t="s">
        <v>111</v>
      </c>
      <c r="B221" s="29" t="s">
        <v>381</v>
      </c>
      <c r="C221" s="12"/>
      <c r="D221" s="30"/>
      <c r="E221" s="391"/>
      <c r="F221" s="398">
        <f>SUM(F219,-F220)</f>
        <v>-933424278</v>
      </c>
      <c r="G221" s="391"/>
      <c r="H221" s="398">
        <f>SUM(H219,-H220)</f>
        <v>-301715842</v>
      </c>
      <c r="I221" s="391"/>
      <c r="J221" s="391"/>
      <c r="K221" s="391"/>
      <c r="L221" s="1010">
        <f>SUM(L219,-L220)</f>
        <v>-268590723</v>
      </c>
      <c r="M221" s="1020"/>
      <c r="N221" s="1013">
        <f>+N130-N161</f>
        <v>271992779.43900001</v>
      </c>
      <c r="O221" s="998"/>
    </row>
    <row r="222" spans="1:15" ht="21.75" customHeight="1" thickTop="1">
      <c r="A222" s="52"/>
      <c r="B222" s="22"/>
      <c r="C222" s="20"/>
      <c r="D222" s="53"/>
      <c r="E222" s="401"/>
      <c r="F222" s="399"/>
      <c r="G222" s="401"/>
      <c r="H222" s="399"/>
      <c r="I222" s="392"/>
      <c r="J222" s="392"/>
      <c r="K222" s="401"/>
      <c r="L222" s="1011"/>
      <c r="M222" s="1011"/>
      <c r="N222" s="998"/>
      <c r="O222" s="998"/>
    </row>
    <row r="223" spans="1:15">
      <c r="I223" s="721">
        <f>SUM(I130:I222)</f>
        <v>280698187</v>
      </c>
      <c r="J223" s="721">
        <f>SUM(J130:J222)</f>
        <v>313823306</v>
      </c>
      <c r="N223" s="998"/>
      <c r="O223" s="998"/>
    </row>
    <row r="224" spans="1:15">
      <c r="I224" s="721">
        <f>I223-J223</f>
        <v>-33125119</v>
      </c>
      <c r="L224" s="823">
        <v>268590723</v>
      </c>
      <c r="M224" s="721">
        <f>+L221+L224</f>
        <v>0</v>
      </c>
      <c r="N224" s="998"/>
      <c r="O224" s="998"/>
    </row>
  </sheetData>
  <mergeCells count="2">
    <mergeCell ref="A8:D8"/>
    <mergeCell ref="A129:D129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4" orientation="portrait" r:id="rId1"/>
  <rowBreaks count="4" manualBreakCount="4">
    <brk id="75" max="16383" man="1"/>
    <brk id="121" max="16383" man="1"/>
    <brk id="160" max="16383" man="1"/>
    <brk id="19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B2:C7"/>
  <sheetViews>
    <sheetView workbookViewId="0">
      <selection activeCell="C12" sqref="C12"/>
    </sheetView>
  </sheetViews>
  <sheetFormatPr defaultRowHeight="16.5"/>
  <cols>
    <col min="2" max="2" width="24.375" customWidth="1"/>
    <col min="3" max="3" width="17.625" customWidth="1"/>
  </cols>
  <sheetData>
    <row r="2" spans="2:3">
      <c r="B2" t="s">
        <v>5390</v>
      </c>
      <c r="C2" s="821">
        <f>+FS_worksheet!N221</f>
        <v>271992779.43900001</v>
      </c>
    </row>
    <row r="4" spans="2:3">
      <c r="B4" t="s">
        <v>5391</v>
      </c>
      <c r="C4" s="823">
        <f>+FS_worksheet!N130-FS_worksheet!N132</f>
        <v>254193853</v>
      </c>
    </row>
    <row r="5" spans="2:3">
      <c r="B5" t="s">
        <v>5392</v>
      </c>
    </row>
    <row r="7" spans="2:3">
      <c r="B7" t="s">
        <v>5393</v>
      </c>
      <c r="C7" s="821">
        <f>+C2-C4</f>
        <v>17798926.43900001</v>
      </c>
    </row>
  </sheetData>
  <phoneticPr fontId="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0"/>
  <dimension ref="B1:F99"/>
  <sheetViews>
    <sheetView topLeftCell="A4" workbookViewId="0">
      <selection activeCell="C28" sqref="C28"/>
    </sheetView>
  </sheetViews>
  <sheetFormatPr defaultRowHeight="16.5"/>
  <cols>
    <col min="1" max="1" width="9" style="79"/>
    <col min="2" max="2" width="11.375" style="79" bestFit="1" customWidth="1"/>
    <col min="3" max="3" width="13.875" style="79" bestFit="1" customWidth="1"/>
    <col min="4" max="4" width="21.375" style="79" bestFit="1" customWidth="1"/>
    <col min="5" max="5" width="11.375" style="79" bestFit="1" customWidth="1"/>
    <col min="6" max="6" width="13.875" style="79" bestFit="1" customWidth="1"/>
    <col min="7" max="16384" width="9" style="79"/>
  </cols>
  <sheetData>
    <row r="1" spans="2:6">
      <c r="B1" s="78"/>
      <c r="C1" s="78"/>
      <c r="D1" s="78"/>
      <c r="E1" s="78"/>
      <c r="F1" s="78"/>
    </row>
    <row r="2" spans="2:6">
      <c r="B2" s="80"/>
      <c r="C2" s="80"/>
      <c r="D2" s="80"/>
      <c r="E2" s="80"/>
      <c r="F2" s="80"/>
    </row>
    <row r="3" spans="2:6">
      <c r="B3" s="80"/>
      <c r="C3" s="80"/>
      <c r="D3" s="80"/>
      <c r="E3" s="80"/>
      <c r="F3" s="80"/>
    </row>
    <row r="4" spans="2:6">
      <c r="B4" s="1248" t="s">
        <v>2894</v>
      </c>
      <c r="C4" s="1248" t="s">
        <v>2894</v>
      </c>
      <c r="D4" s="1248" t="s">
        <v>2895</v>
      </c>
      <c r="E4" s="1248" t="s">
        <v>2896</v>
      </c>
      <c r="F4" s="1248" t="s">
        <v>2896</v>
      </c>
    </row>
    <row r="5" spans="2:6">
      <c r="B5" s="1248" t="s">
        <v>2897</v>
      </c>
      <c r="C5" s="1248" t="s">
        <v>2897</v>
      </c>
      <c r="D5" s="1248" t="s">
        <v>2895</v>
      </c>
      <c r="E5" s="1248" t="s">
        <v>2898</v>
      </c>
      <c r="F5" s="1248" t="s">
        <v>2898</v>
      </c>
    </row>
    <row r="6" spans="2:6">
      <c r="B6" s="799"/>
      <c r="C6" s="799"/>
      <c r="D6" s="798" t="s">
        <v>2899</v>
      </c>
      <c r="E6" s="799"/>
      <c r="F6" s="799"/>
    </row>
    <row r="7" spans="2:6">
      <c r="B7" s="799"/>
      <c r="C7" s="799">
        <v>7093933717</v>
      </c>
      <c r="D7" s="798" t="s">
        <v>2900</v>
      </c>
      <c r="E7" s="799"/>
      <c r="F7" s="799">
        <v>7390531742</v>
      </c>
    </row>
    <row r="8" spans="2:6">
      <c r="B8" s="799"/>
      <c r="C8" s="799">
        <v>7093933717</v>
      </c>
      <c r="D8" s="798" t="s">
        <v>2901</v>
      </c>
      <c r="E8" s="799"/>
      <c r="F8" s="799">
        <v>7390531742</v>
      </c>
    </row>
    <row r="9" spans="2:6">
      <c r="B9" s="799"/>
      <c r="C9" s="799">
        <v>185560</v>
      </c>
      <c r="D9" s="801" t="s">
        <v>2902</v>
      </c>
      <c r="E9" s="799"/>
      <c r="F9" s="799">
        <v>88920</v>
      </c>
    </row>
    <row r="10" spans="2:6">
      <c r="B10" s="799"/>
      <c r="C10" s="799">
        <v>1150360125</v>
      </c>
      <c r="D10" s="801" t="s">
        <v>2903</v>
      </c>
      <c r="E10" s="799"/>
      <c r="F10" s="799">
        <v>1279591534</v>
      </c>
    </row>
    <row r="11" spans="2:6">
      <c r="B11" s="799"/>
      <c r="C11" s="799">
        <v>5215981410</v>
      </c>
      <c r="D11" s="801" t="s">
        <v>2904</v>
      </c>
      <c r="E11" s="799"/>
      <c r="F11" s="799">
        <v>5089941343</v>
      </c>
    </row>
    <row r="12" spans="2:6">
      <c r="B12" s="799"/>
      <c r="C12" s="799">
        <v>543613000</v>
      </c>
      <c r="D12" s="801" t="s">
        <v>2905</v>
      </c>
      <c r="E12" s="799"/>
      <c r="F12" s="799">
        <v>545304119</v>
      </c>
    </row>
    <row r="13" spans="2:6">
      <c r="B13" s="799"/>
      <c r="C13" s="799">
        <v>4180000</v>
      </c>
      <c r="D13" s="798" t="s">
        <v>2906</v>
      </c>
      <c r="E13" s="799"/>
      <c r="F13" s="799"/>
    </row>
    <row r="14" spans="2:6">
      <c r="B14" s="799"/>
      <c r="C14" s="799">
        <v>84347246</v>
      </c>
      <c r="D14" s="798" t="s">
        <v>2907</v>
      </c>
      <c r="E14" s="799"/>
      <c r="F14" s="799">
        <v>93381167</v>
      </c>
    </row>
    <row r="15" spans="2:6">
      <c r="B15" s="799"/>
      <c r="C15" s="799">
        <v>72297790</v>
      </c>
      <c r="D15" s="798" t="s">
        <v>2908</v>
      </c>
      <c r="E15" s="799"/>
      <c r="F15" s="799">
        <v>73792000</v>
      </c>
    </row>
    <row r="16" spans="2:6">
      <c r="B16" s="799"/>
      <c r="C16" s="799"/>
      <c r="D16" s="798" t="s">
        <v>2909</v>
      </c>
      <c r="E16" s="799"/>
      <c r="F16" s="799">
        <v>262026459</v>
      </c>
    </row>
    <row r="17" spans="2:6">
      <c r="B17" s="799"/>
      <c r="C17" s="799">
        <v>22968586</v>
      </c>
      <c r="D17" s="798" t="s">
        <v>2910</v>
      </c>
      <c r="E17" s="799"/>
      <c r="F17" s="799">
        <v>46406200</v>
      </c>
    </row>
    <row r="18" spans="2:6">
      <c r="B18" s="799"/>
      <c r="C18" s="799"/>
      <c r="D18" s="798" t="s">
        <v>2911</v>
      </c>
      <c r="E18" s="799"/>
      <c r="F18" s="799"/>
    </row>
    <row r="19" spans="2:6">
      <c r="B19" s="799"/>
      <c r="C19" s="799">
        <v>2954100253</v>
      </c>
      <c r="D19" s="798" t="s">
        <v>2912</v>
      </c>
      <c r="E19" s="799"/>
      <c r="F19" s="799">
        <v>3038391984</v>
      </c>
    </row>
    <row r="20" spans="2:6">
      <c r="B20" s="799"/>
      <c r="C20" s="799">
        <v>60128275</v>
      </c>
      <c r="D20" s="798" t="s">
        <v>2913</v>
      </c>
      <c r="E20" s="799"/>
      <c r="F20" s="799">
        <v>69777698</v>
      </c>
    </row>
    <row r="21" spans="2:6">
      <c r="B21" s="799"/>
      <c r="C21" s="799">
        <v>15748892</v>
      </c>
      <c r="D21" s="801" t="s">
        <v>2914</v>
      </c>
      <c r="E21" s="799"/>
      <c r="F21" s="799">
        <v>9652544</v>
      </c>
    </row>
    <row r="22" spans="2:6">
      <c r="B22" s="799"/>
      <c r="C22" s="799">
        <v>44379383</v>
      </c>
      <c r="D22" s="801" t="s">
        <v>2915</v>
      </c>
      <c r="E22" s="799"/>
      <c r="F22" s="799">
        <v>60125154</v>
      </c>
    </row>
    <row r="23" spans="2:6">
      <c r="B23" s="799"/>
      <c r="C23" s="799">
        <v>2893271978</v>
      </c>
      <c r="D23" s="798" t="s">
        <v>2916</v>
      </c>
      <c r="E23" s="799"/>
      <c r="F23" s="799">
        <v>2967914286</v>
      </c>
    </row>
    <row r="24" spans="2:6">
      <c r="B24" s="799"/>
      <c r="C24" s="799">
        <v>2254457228</v>
      </c>
      <c r="D24" s="801" t="s">
        <v>2917</v>
      </c>
      <c r="E24" s="799"/>
      <c r="F24" s="799">
        <v>2254457228</v>
      </c>
    </row>
    <row r="25" spans="2:6">
      <c r="B25" s="799">
        <v>960075551</v>
      </c>
      <c r="C25" s="799"/>
      <c r="D25" s="801" t="s">
        <v>2918</v>
      </c>
      <c r="E25" s="799">
        <v>950617551</v>
      </c>
      <c r="F25" s="799"/>
    </row>
    <row r="26" spans="2:6">
      <c r="B26" s="799">
        <v>336740948</v>
      </c>
      <c r="C26" s="799">
        <v>623334603</v>
      </c>
      <c r="D26" s="801" t="s">
        <v>3265</v>
      </c>
      <c r="E26" s="799">
        <v>264658339</v>
      </c>
      <c r="F26" s="799">
        <v>685959212</v>
      </c>
    </row>
    <row r="27" spans="2:6">
      <c r="B27" s="799">
        <v>126987379</v>
      </c>
      <c r="C27" s="799"/>
      <c r="D27" s="801" t="s">
        <v>2919</v>
      </c>
      <c r="E27" s="799">
        <v>125902779</v>
      </c>
      <c r="F27" s="799"/>
    </row>
    <row r="28" spans="2:6">
      <c r="B28" s="799">
        <v>111507232</v>
      </c>
      <c r="C28" s="799">
        <v>15480147</v>
      </c>
      <c r="D28" s="801" t="s">
        <v>3266</v>
      </c>
      <c r="E28" s="799">
        <v>98404933</v>
      </c>
      <c r="F28" s="799">
        <v>27497846</v>
      </c>
    </row>
    <row r="29" spans="2:6">
      <c r="B29" s="799"/>
      <c r="C29" s="799"/>
      <c r="D29" s="798" t="s">
        <v>2920</v>
      </c>
      <c r="E29" s="799"/>
      <c r="F29" s="799"/>
    </row>
    <row r="30" spans="2:6">
      <c r="B30" s="799"/>
      <c r="C30" s="799">
        <v>700000</v>
      </c>
      <c r="D30" s="798" t="s">
        <v>2921</v>
      </c>
      <c r="E30" s="799"/>
      <c r="F30" s="799">
        <v>700000</v>
      </c>
    </row>
    <row r="31" spans="2:6">
      <c r="B31" s="799"/>
      <c r="C31" s="799">
        <v>700000</v>
      </c>
      <c r="D31" s="801" t="s">
        <v>2922</v>
      </c>
      <c r="E31" s="799"/>
      <c r="F31" s="799">
        <v>700000</v>
      </c>
    </row>
    <row r="32" spans="2:6">
      <c r="B32" s="799"/>
      <c r="C32" s="799">
        <v>10048033970</v>
      </c>
      <c r="D32" s="798" t="s">
        <v>2923</v>
      </c>
      <c r="E32" s="799"/>
      <c r="F32" s="799">
        <v>10428923726</v>
      </c>
    </row>
    <row r="33" spans="2:6">
      <c r="B33" s="799"/>
      <c r="C33" s="799"/>
      <c r="D33" s="798" t="s">
        <v>2924</v>
      </c>
      <c r="E33" s="799"/>
      <c r="F33" s="799"/>
    </row>
    <row r="34" spans="2:6">
      <c r="B34" s="799"/>
      <c r="C34" s="799">
        <v>447041572</v>
      </c>
      <c r="D34" s="798" t="s">
        <v>2925</v>
      </c>
      <c r="E34" s="799"/>
      <c r="F34" s="799">
        <v>781863487</v>
      </c>
    </row>
    <row r="35" spans="2:6">
      <c r="B35" s="799"/>
      <c r="C35" s="799">
        <v>39348586</v>
      </c>
      <c r="D35" s="798" t="s">
        <v>2926</v>
      </c>
      <c r="E35" s="799"/>
      <c r="F35" s="799">
        <v>25168990</v>
      </c>
    </row>
    <row r="36" spans="2:6">
      <c r="B36" s="799"/>
      <c r="C36" s="799">
        <v>1799770</v>
      </c>
      <c r="D36" s="798" t="s">
        <v>2927</v>
      </c>
      <c r="E36" s="799"/>
      <c r="F36" s="799">
        <v>3177820</v>
      </c>
    </row>
    <row r="37" spans="2:6">
      <c r="B37" s="799"/>
      <c r="C37" s="799">
        <v>405893216</v>
      </c>
      <c r="D37" s="798" t="s">
        <v>2928</v>
      </c>
      <c r="E37" s="799"/>
      <c r="F37" s="799">
        <v>753516677</v>
      </c>
    </row>
    <row r="38" spans="2:6">
      <c r="B38" s="799"/>
      <c r="C38" s="799">
        <v>801727937</v>
      </c>
      <c r="D38" s="798" t="s">
        <v>2929</v>
      </c>
      <c r="E38" s="799"/>
      <c r="F38" s="799">
        <v>680407527</v>
      </c>
    </row>
    <row r="39" spans="2:6">
      <c r="B39" s="799"/>
      <c r="C39" s="799">
        <v>556760257</v>
      </c>
      <c r="D39" s="798" t="s">
        <v>2930</v>
      </c>
      <c r="E39" s="799"/>
      <c r="F39" s="799">
        <v>445008127</v>
      </c>
    </row>
    <row r="40" spans="2:6">
      <c r="B40" s="799"/>
      <c r="C40" s="799">
        <v>160000000</v>
      </c>
      <c r="D40" s="798" t="s">
        <v>2931</v>
      </c>
      <c r="E40" s="799"/>
      <c r="F40" s="799">
        <v>160000000</v>
      </c>
    </row>
    <row r="41" spans="2:6">
      <c r="B41" s="799"/>
      <c r="C41" s="799">
        <v>84967680</v>
      </c>
      <c r="D41" s="801" t="s">
        <v>2932</v>
      </c>
      <c r="E41" s="799"/>
      <c r="F41" s="799">
        <v>75399400</v>
      </c>
    </row>
    <row r="42" spans="2:6">
      <c r="B42" s="799"/>
      <c r="C42" s="799">
        <v>1248769509</v>
      </c>
      <c r="D42" s="798" t="s">
        <v>2933</v>
      </c>
      <c r="E42" s="799"/>
      <c r="F42" s="799">
        <v>1462271014</v>
      </c>
    </row>
    <row r="43" spans="2:6">
      <c r="B43" s="799"/>
      <c r="C43" s="799"/>
      <c r="D43" s="798" t="s">
        <v>2934</v>
      </c>
      <c r="E43" s="799"/>
      <c r="F43" s="799"/>
    </row>
    <row r="44" spans="2:6">
      <c r="B44" s="799"/>
      <c r="C44" s="799">
        <v>8383708189</v>
      </c>
      <c r="D44" s="798" t="s">
        <v>2935</v>
      </c>
      <c r="E44" s="799"/>
      <c r="F44" s="799">
        <v>8253627122</v>
      </c>
    </row>
    <row r="45" spans="2:6">
      <c r="B45" s="799"/>
      <c r="C45" s="799">
        <v>8383708189</v>
      </c>
      <c r="D45" s="798" t="s">
        <v>2936</v>
      </c>
      <c r="E45" s="799"/>
      <c r="F45" s="799">
        <v>8253627122</v>
      </c>
    </row>
    <row r="46" spans="2:6">
      <c r="B46" s="799"/>
      <c r="C46" s="799"/>
      <c r="D46" s="798" t="s">
        <v>2937</v>
      </c>
      <c r="E46" s="799"/>
      <c r="F46" s="799"/>
    </row>
    <row r="47" spans="2:6">
      <c r="B47" s="799"/>
      <c r="C47" s="799"/>
      <c r="D47" s="798" t="s">
        <v>2938</v>
      </c>
      <c r="E47" s="799"/>
      <c r="F47" s="799"/>
    </row>
    <row r="48" spans="2:6">
      <c r="B48" s="799"/>
      <c r="C48" s="799">
        <v>11470578</v>
      </c>
      <c r="D48" s="798" t="s">
        <v>2939</v>
      </c>
      <c r="E48" s="799"/>
      <c r="F48" s="799">
        <v>7224054</v>
      </c>
    </row>
    <row r="49" spans="2:6">
      <c r="B49" s="799"/>
      <c r="C49" s="799">
        <v>11470578</v>
      </c>
      <c r="D49" s="798" t="s">
        <v>2940</v>
      </c>
      <c r="E49" s="799"/>
      <c r="F49" s="799">
        <v>7224054</v>
      </c>
    </row>
    <row r="50" spans="2:6">
      <c r="B50" s="799"/>
      <c r="C50" s="799">
        <v>404085694</v>
      </c>
      <c r="D50" s="798" t="s">
        <v>2941</v>
      </c>
      <c r="E50" s="799"/>
      <c r="F50" s="799">
        <v>705801536</v>
      </c>
    </row>
    <row r="51" spans="2:6">
      <c r="B51" s="799"/>
      <c r="C51" s="799">
        <v>2726732</v>
      </c>
      <c r="D51" s="798" t="s">
        <v>2942</v>
      </c>
      <c r="E51" s="799"/>
      <c r="F51" s="799">
        <v>2726732</v>
      </c>
    </row>
    <row r="52" spans="2:6">
      <c r="B52" s="799"/>
      <c r="C52" s="799">
        <v>401358962</v>
      </c>
      <c r="D52" s="798" t="s">
        <v>2943</v>
      </c>
      <c r="E52" s="799"/>
      <c r="F52" s="799">
        <v>703074804</v>
      </c>
    </row>
    <row r="53" spans="2:6">
      <c r="B53" s="799"/>
      <c r="C53" s="799"/>
      <c r="D53" s="798" t="s">
        <v>2944</v>
      </c>
      <c r="E53" s="799"/>
      <c r="F53" s="799"/>
    </row>
    <row r="54" spans="2:6">
      <c r="B54" s="799"/>
      <c r="C54" s="799"/>
      <c r="D54" s="798" t="s">
        <v>2947</v>
      </c>
      <c r="E54" s="799"/>
      <c r="F54" s="799"/>
    </row>
    <row r="55" spans="2:6">
      <c r="B55" s="799"/>
      <c r="C55" s="799"/>
      <c r="D55" s="798" t="s">
        <v>2948</v>
      </c>
      <c r="E55" s="799"/>
      <c r="F55" s="799"/>
    </row>
    <row r="56" spans="2:6">
      <c r="B56" s="799"/>
      <c r="C56" s="799">
        <v>8799264461</v>
      </c>
      <c r="D56" s="798" t="s">
        <v>2945</v>
      </c>
      <c r="E56" s="799"/>
      <c r="F56" s="799">
        <v>8966652712</v>
      </c>
    </row>
    <row r="57" spans="2:6">
      <c r="B57" s="799"/>
      <c r="C57" s="799">
        <v>10048033970</v>
      </c>
      <c r="D57" s="798" t="s">
        <v>2946</v>
      </c>
      <c r="E57" s="799"/>
      <c r="F57" s="799">
        <v>10428923726</v>
      </c>
    </row>
    <row r="58" spans="2:6">
      <c r="B58" s="80"/>
      <c r="C58" s="82"/>
      <c r="D58" s="82"/>
      <c r="E58" s="82"/>
      <c r="F58" s="82"/>
    </row>
    <row r="59" spans="2:6">
      <c r="B59" s="80"/>
      <c r="C59" s="80"/>
      <c r="D59" s="82"/>
      <c r="E59" s="80"/>
      <c r="F59" s="83"/>
    </row>
    <row r="60" spans="2:6">
      <c r="B60" s="80"/>
      <c r="C60" s="82"/>
      <c r="D60" s="80"/>
      <c r="E60" s="82"/>
      <c r="F60" s="80"/>
    </row>
    <row r="61" spans="2:6">
      <c r="B61" s="80"/>
      <c r="C61" s="82"/>
      <c r="D61" s="82"/>
      <c r="E61" s="82"/>
      <c r="F61" s="82"/>
    </row>
    <row r="62" spans="2:6">
      <c r="B62" s="80"/>
      <c r="C62" s="80"/>
      <c r="D62" s="82"/>
      <c r="E62" s="80"/>
      <c r="F62" s="82"/>
    </row>
    <row r="63" spans="2:6">
      <c r="B63" s="80"/>
      <c r="C63" s="80"/>
      <c r="D63" s="82"/>
      <c r="E63" s="80"/>
      <c r="F63" s="82"/>
    </row>
    <row r="64" spans="2:6">
      <c r="B64" s="80"/>
      <c r="C64" s="80"/>
      <c r="D64" s="82"/>
      <c r="E64" s="80"/>
      <c r="F64" s="82"/>
    </row>
    <row r="65" spans="2:6">
      <c r="B65" s="80"/>
      <c r="C65" s="80"/>
      <c r="D65" s="82"/>
      <c r="E65" s="80"/>
      <c r="F65" s="83"/>
    </row>
    <row r="66" spans="2:6">
      <c r="B66" s="84"/>
      <c r="C66" s="80"/>
      <c r="D66" s="82"/>
      <c r="E66" s="80"/>
      <c r="F66" s="82"/>
    </row>
    <row r="67" spans="2:6">
      <c r="B67" s="80"/>
      <c r="C67" s="80"/>
      <c r="D67" s="80"/>
      <c r="E67" s="80"/>
      <c r="F67" s="80"/>
    </row>
    <row r="68" spans="2:6">
      <c r="B68" s="80"/>
      <c r="C68" s="80"/>
      <c r="D68" s="82"/>
      <c r="E68" s="80"/>
      <c r="F68" s="82"/>
    </row>
    <row r="69" spans="2:6">
      <c r="B69" s="80"/>
      <c r="C69" s="80"/>
      <c r="D69" s="82"/>
      <c r="E69" s="80"/>
      <c r="F69" s="82"/>
    </row>
    <row r="70" spans="2:6">
      <c r="B70" s="80"/>
      <c r="C70" s="80"/>
      <c r="D70" s="82"/>
      <c r="E70" s="80"/>
      <c r="F70" s="82"/>
    </row>
    <row r="71" spans="2:6">
      <c r="B71" s="80"/>
      <c r="C71" s="80"/>
      <c r="D71" s="82"/>
      <c r="E71" s="80"/>
      <c r="F71" s="82"/>
    </row>
    <row r="72" spans="2:6">
      <c r="B72" s="80"/>
      <c r="C72" s="80"/>
      <c r="D72" s="82"/>
      <c r="E72" s="80"/>
      <c r="F72" s="82"/>
    </row>
    <row r="73" spans="2:6">
      <c r="B73" s="80"/>
      <c r="C73" s="80"/>
      <c r="D73" s="82"/>
      <c r="E73" s="80"/>
      <c r="F73" s="82"/>
    </row>
    <row r="74" spans="2:6">
      <c r="B74" s="80"/>
      <c r="C74" s="80"/>
      <c r="D74" s="82"/>
      <c r="E74" s="80"/>
      <c r="F74" s="82"/>
    </row>
    <row r="75" spans="2:6">
      <c r="B75" s="80"/>
      <c r="C75" s="80"/>
      <c r="D75" s="82"/>
      <c r="E75" s="80"/>
      <c r="F75" s="83"/>
    </row>
    <row r="76" spans="2:6">
      <c r="B76" s="80"/>
      <c r="C76" s="80"/>
      <c r="D76" s="82"/>
      <c r="E76" s="80"/>
      <c r="F76" s="82"/>
    </row>
    <row r="77" spans="2:6">
      <c r="B77" s="80"/>
      <c r="C77" s="82"/>
      <c r="D77" s="80"/>
      <c r="E77" s="82"/>
      <c r="F77" s="80"/>
    </row>
    <row r="78" spans="2:6">
      <c r="B78" s="80"/>
      <c r="C78" s="82"/>
      <c r="D78" s="82"/>
      <c r="E78" s="82"/>
      <c r="F78" s="82"/>
    </row>
    <row r="79" spans="2:6">
      <c r="B79" s="80"/>
      <c r="C79" s="80"/>
      <c r="D79" s="83"/>
      <c r="E79" s="80"/>
      <c r="F79" s="82"/>
    </row>
    <row r="80" spans="2:6">
      <c r="B80" s="84"/>
      <c r="C80" s="80"/>
      <c r="D80" s="82"/>
      <c r="E80" s="80"/>
      <c r="F80" s="82"/>
    </row>
    <row r="81" spans="2:6">
      <c r="B81" s="80"/>
      <c r="C81" s="80"/>
      <c r="D81" s="80"/>
      <c r="E81" s="80"/>
      <c r="F81" s="80"/>
    </row>
    <row r="82" spans="2:6">
      <c r="B82" s="80"/>
      <c r="C82" s="80"/>
      <c r="D82" s="82"/>
      <c r="E82" s="80"/>
      <c r="F82" s="82"/>
    </row>
    <row r="83" spans="2:6">
      <c r="B83" s="80"/>
      <c r="C83" s="80"/>
      <c r="D83" s="82"/>
      <c r="E83" s="80"/>
      <c r="F83" s="82"/>
    </row>
    <row r="84" spans="2:6">
      <c r="B84" s="80"/>
      <c r="C84" s="80"/>
      <c r="D84" s="82"/>
      <c r="E84" s="80"/>
      <c r="F84" s="82"/>
    </row>
    <row r="85" spans="2:6">
      <c r="B85" s="80"/>
      <c r="C85" s="80"/>
      <c r="D85" s="82"/>
      <c r="E85" s="80"/>
      <c r="F85" s="82"/>
    </row>
    <row r="86" spans="2:6">
      <c r="B86" s="80"/>
      <c r="C86" s="80"/>
      <c r="D86" s="82"/>
      <c r="E86" s="80"/>
      <c r="F86" s="82"/>
    </row>
    <row r="87" spans="2:6">
      <c r="B87" s="80"/>
      <c r="C87" s="80"/>
      <c r="D87" s="82"/>
      <c r="E87" s="80"/>
      <c r="F87" s="82"/>
    </row>
    <row r="88" spans="2:6">
      <c r="B88" s="80"/>
      <c r="C88" s="80"/>
      <c r="D88" s="82"/>
      <c r="E88" s="80"/>
      <c r="F88" s="82"/>
    </row>
    <row r="89" spans="2:6">
      <c r="B89" s="80"/>
      <c r="C89" s="80"/>
      <c r="D89" s="82"/>
      <c r="E89" s="80"/>
      <c r="F89" s="82"/>
    </row>
    <row r="90" spans="2:6">
      <c r="B90" s="80"/>
      <c r="C90" s="80"/>
      <c r="D90" s="82"/>
      <c r="E90" s="80"/>
      <c r="F90" s="82"/>
    </row>
    <row r="91" spans="2:6">
      <c r="B91" s="80"/>
      <c r="C91" s="80"/>
      <c r="D91" s="82"/>
      <c r="E91" s="80"/>
      <c r="F91" s="82"/>
    </row>
    <row r="92" spans="2:6">
      <c r="B92" s="80"/>
      <c r="C92" s="80"/>
      <c r="D92" s="82"/>
      <c r="E92" s="80"/>
      <c r="F92" s="82"/>
    </row>
    <row r="93" spans="2:6">
      <c r="B93" s="80"/>
      <c r="C93" s="80"/>
      <c r="D93" s="82"/>
      <c r="E93" s="80"/>
      <c r="F93" s="82"/>
    </row>
    <row r="94" spans="2:6">
      <c r="B94" s="80"/>
      <c r="C94" s="80"/>
      <c r="D94" s="82"/>
      <c r="E94" s="80"/>
      <c r="F94" s="82"/>
    </row>
    <row r="95" spans="2:6">
      <c r="B95" s="80"/>
      <c r="C95" s="80"/>
      <c r="D95" s="82"/>
      <c r="E95" s="80"/>
      <c r="F95" s="83"/>
    </row>
    <row r="96" spans="2:6">
      <c r="B96" s="80"/>
      <c r="C96" s="80"/>
      <c r="D96" s="82"/>
      <c r="E96" s="80"/>
      <c r="F96" s="83"/>
    </row>
    <row r="97" spans="2:6">
      <c r="B97" s="80"/>
      <c r="C97" s="80"/>
      <c r="D97" s="82"/>
      <c r="E97" s="80"/>
      <c r="F97" s="83"/>
    </row>
    <row r="98" spans="2:6">
      <c r="B98" s="84"/>
      <c r="C98" s="80"/>
      <c r="D98" s="82"/>
      <c r="E98" s="80"/>
      <c r="F98" s="82"/>
    </row>
    <row r="99" spans="2:6">
      <c r="B99" s="84"/>
      <c r="C99" s="80"/>
      <c r="D99" s="82"/>
      <c r="E99" s="80"/>
      <c r="F99" s="82"/>
    </row>
  </sheetData>
  <mergeCells count="5">
    <mergeCell ref="B4:C4"/>
    <mergeCell ref="D4:D5"/>
    <mergeCell ref="E4:F4"/>
    <mergeCell ref="B5:C5"/>
    <mergeCell ref="E5:F5"/>
  </mergeCells>
  <phoneticPr fontId="3" type="noConversion"/>
  <pageMargins left="0.15748031496062992" right="0.19685039370078741" top="0.35433070866141736" bottom="0.31496062992125984" header="0.27559055118110237" footer="0.1968503937007874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1"/>
  <dimension ref="A1:F77"/>
  <sheetViews>
    <sheetView topLeftCell="A22" workbookViewId="0">
      <selection activeCell="B60" sqref="B39:B60"/>
    </sheetView>
  </sheetViews>
  <sheetFormatPr defaultColWidth="57.5" defaultRowHeight="16.5"/>
  <cols>
    <col min="1" max="1" width="7.25" style="79" customWidth="1"/>
    <col min="2" max="2" width="23.875" style="79" bestFit="1" customWidth="1"/>
    <col min="3" max="6" width="13" style="79" bestFit="1" customWidth="1"/>
    <col min="7" max="16384" width="57.5" style="79"/>
  </cols>
  <sheetData>
    <row r="1" spans="1:6">
      <c r="A1" s="78"/>
      <c r="B1" s="78"/>
      <c r="C1" s="78"/>
      <c r="D1" s="78"/>
      <c r="E1" s="78"/>
    </row>
    <row r="2" spans="1:6">
      <c r="A2" s="80"/>
      <c r="B2" s="80"/>
      <c r="C2" s="80"/>
      <c r="D2" s="80"/>
      <c r="E2" s="80"/>
    </row>
    <row r="3" spans="1:6">
      <c r="A3" s="80"/>
      <c r="B3" s="1248" t="s">
        <v>2895</v>
      </c>
      <c r="C3" s="1248" t="s">
        <v>2894</v>
      </c>
      <c r="D3" s="1248" t="s">
        <v>2894</v>
      </c>
      <c r="E3" s="1248" t="s">
        <v>2896</v>
      </c>
      <c r="F3" s="1248" t="s">
        <v>2896</v>
      </c>
    </row>
    <row r="4" spans="1:6">
      <c r="A4" s="80"/>
      <c r="B4" s="1248" t="s">
        <v>2895</v>
      </c>
      <c r="C4" s="1248" t="s">
        <v>2897</v>
      </c>
      <c r="D4" s="1248" t="s">
        <v>2897</v>
      </c>
      <c r="E4" s="1248" t="s">
        <v>2898</v>
      </c>
      <c r="F4" s="1248" t="s">
        <v>2898</v>
      </c>
    </row>
    <row r="5" spans="1:6">
      <c r="A5" s="81"/>
      <c r="B5" s="798" t="s">
        <v>2949</v>
      </c>
      <c r="C5" s="800">
        <v>0</v>
      </c>
      <c r="D5" s="800">
        <v>4687627079</v>
      </c>
      <c r="E5" s="800">
        <v>0</v>
      </c>
      <c r="F5" s="800">
        <v>3371877259</v>
      </c>
    </row>
    <row r="6" spans="1:6">
      <c r="A6" s="80"/>
      <c r="B6" s="798" t="s">
        <v>2950</v>
      </c>
      <c r="C6" s="800">
        <v>186888950</v>
      </c>
      <c r="D6" s="800">
        <v>0</v>
      </c>
      <c r="E6" s="800">
        <v>244641638</v>
      </c>
      <c r="F6" s="800">
        <v>0</v>
      </c>
    </row>
    <row r="7" spans="1:6">
      <c r="A7" s="80"/>
      <c r="B7" s="798" t="s">
        <v>2951</v>
      </c>
      <c r="C7" s="800">
        <v>125504908</v>
      </c>
      <c r="D7" s="800">
        <v>0</v>
      </c>
      <c r="E7" s="800">
        <v>119974545</v>
      </c>
      <c r="F7" s="800">
        <v>0</v>
      </c>
    </row>
    <row r="8" spans="1:6">
      <c r="A8" s="80"/>
      <c r="B8" s="798" t="s">
        <v>2952</v>
      </c>
      <c r="C8" s="800">
        <v>3793390380</v>
      </c>
      <c r="D8" s="800">
        <v>0</v>
      </c>
      <c r="E8" s="800">
        <v>2402694321</v>
      </c>
      <c r="F8" s="800">
        <v>0</v>
      </c>
    </row>
    <row r="9" spans="1:6">
      <c r="A9" s="81"/>
      <c r="B9" s="798" t="s">
        <v>2953</v>
      </c>
      <c r="C9" s="800">
        <v>231654162</v>
      </c>
      <c r="D9" s="800">
        <v>0</v>
      </c>
      <c r="E9" s="800">
        <v>245450402</v>
      </c>
      <c r="F9" s="800">
        <v>0</v>
      </c>
    </row>
    <row r="10" spans="1:6">
      <c r="A10" s="81"/>
      <c r="B10" s="798" t="s">
        <v>2954</v>
      </c>
      <c r="C10" s="800">
        <v>158666000</v>
      </c>
      <c r="D10" s="800">
        <v>0</v>
      </c>
      <c r="E10" s="800">
        <v>182113000</v>
      </c>
      <c r="F10" s="800">
        <v>0</v>
      </c>
    </row>
    <row r="11" spans="1:6">
      <c r="A11" s="81"/>
      <c r="B11" s="798" t="s">
        <v>2955</v>
      </c>
      <c r="C11" s="800">
        <v>233400</v>
      </c>
      <c r="D11" s="800">
        <v>0</v>
      </c>
      <c r="E11" s="800">
        <v>345000</v>
      </c>
      <c r="F11" s="800">
        <v>0</v>
      </c>
    </row>
    <row r="12" spans="1:6">
      <c r="A12" s="81"/>
      <c r="B12" s="798" t="s">
        <v>2956</v>
      </c>
      <c r="C12" s="800">
        <v>500000</v>
      </c>
      <c r="D12" s="800">
        <v>0</v>
      </c>
      <c r="E12" s="800">
        <v>2050000</v>
      </c>
      <c r="F12" s="800">
        <v>0</v>
      </c>
    </row>
    <row r="13" spans="1:6">
      <c r="A13" s="80"/>
      <c r="B13" s="798" t="s">
        <v>2957</v>
      </c>
      <c r="C13" s="800">
        <v>31773000</v>
      </c>
      <c r="D13" s="800">
        <v>0</v>
      </c>
      <c r="E13" s="800">
        <v>20220000</v>
      </c>
      <c r="F13" s="800">
        <v>0</v>
      </c>
    </row>
    <row r="14" spans="1:6">
      <c r="A14" s="81"/>
      <c r="B14" s="798" t="s">
        <v>2958</v>
      </c>
      <c r="C14" s="800">
        <v>72297790</v>
      </c>
      <c r="D14" s="800">
        <v>0</v>
      </c>
      <c r="E14" s="800">
        <v>73792000</v>
      </c>
      <c r="F14" s="800">
        <v>0</v>
      </c>
    </row>
    <row r="15" spans="1:6">
      <c r="A15" s="80"/>
      <c r="B15" s="798" t="s">
        <v>2959</v>
      </c>
      <c r="C15" s="800">
        <v>32200000</v>
      </c>
      <c r="D15" s="800">
        <v>0</v>
      </c>
      <c r="E15" s="800">
        <v>31960000</v>
      </c>
      <c r="F15" s="800">
        <v>0</v>
      </c>
    </row>
    <row r="16" spans="1:6">
      <c r="A16" s="80"/>
      <c r="B16" s="798" t="s">
        <v>2960</v>
      </c>
      <c r="C16" s="800">
        <v>22731883</v>
      </c>
      <c r="D16" s="800">
        <v>0</v>
      </c>
      <c r="E16" s="800">
        <v>25451994</v>
      </c>
      <c r="F16" s="800">
        <v>0</v>
      </c>
    </row>
    <row r="17" spans="1:6">
      <c r="A17" s="80"/>
      <c r="B17" s="798" t="s">
        <v>2961</v>
      </c>
      <c r="C17" s="800">
        <v>11677290</v>
      </c>
      <c r="D17" s="800">
        <v>0</v>
      </c>
      <c r="E17" s="800">
        <v>2431843</v>
      </c>
      <c r="F17" s="800">
        <v>0</v>
      </c>
    </row>
    <row r="18" spans="1:6">
      <c r="A18" s="80"/>
      <c r="B18" s="798" t="s">
        <v>2962</v>
      </c>
      <c r="C18" s="800">
        <v>9702800</v>
      </c>
      <c r="D18" s="800">
        <v>0</v>
      </c>
      <c r="E18" s="800">
        <v>11693612</v>
      </c>
      <c r="F18" s="800">
        <v>0</v>
      </c>
    </row>
    <row r="19" spans="1:6">
      <c r="A19" s="81"/>
      <c r="B19" s="798" t="s">
        <v>2963</v>
      </c>
      <c r="C19" s="800">
        <v>1538600</v>
      </c>
      <c r="D19" s="800">
        <v>0</v>
      </c>
      <c r="E19" s="800">
        <v>1771900</v>
      </c>
      <c r="F19" s="800">
        <v>0</v>
      </c>
    </row>
    <row r="20" spans="1:6">
      <c r="A20" s="80"/>
      <c r="B20" s="798" t="s">
        <v>2964</v>
      </c>
      <c r="C20" s="800">
        <v>8232916</v>
      </c>
      <c r="D20" s="800">
        <v>0</v>
      </c>
      <c r="E20" s="800">
        <v>7287004</v>
      </c>
      <c r="F20" s="800">
        <v>0</v>
      </c>
    </row>
    <row r="21" spans="1:6">
      <c r="A21" s="80"/>
      <c r="B21" s="798" t="s">
        <v>2965</v>
      </c>
      <c r="C21" s="800">
        <v>635000</v>
      </c>
      <c r="D21" s="800">
        <v>0</v>
      </c>
      <c r="E21" s="800">
        <v>0</v>
      </c>
      <c r="F21" s="800">
        <v>0</v>
      </c>
    </row>
    <row r="22" spans="1:6">
      <c r="A22" s="80"/>
      <c r="B22" s="798" t="s">
        <v>2966</v>
      </c>
      <c r="C22" s="800">
        <v>0</v>
      </c>
      <c r="D22" s="800">
        <v>0</v>
      </c>
      <c r="E22" s="800">
        <v>0</v>
      </c>
      <c r="F22" s="800">
        <v>0</v>
      </c>
    </row>
    <row r="23" spans="1:6">
      <c r="A23" s="80"/>
      <c r="B23" s="798" t="s">
        <v>2967</v>
      </c>
      <c r="C23" s="800">
        <v>0</v>
      </c>
      <c r="D23" s="800">
        <v>4687627079</v>
      </c>
      <c r="E23" s="800">
        <v>0</v>
      </c>
      <c r="F23" s="800">
        <v>3371877259</v>
      </c>
    </row>
    <row r="24" spans="1:6">
      <c r="A24" s="80"/>
      <c r="B24" s="798" t="s">
        <v>2968</v>
      </c>
      <c r="C24" s="800">
        <v>0</v>
      </c>
      <c r="D24" s="800">
        <v>4989303167</v>
      </c>
      <c r="E24" s="800">
        <v>0</v>
      </c>
      <c r="F24" s="800">
        <v>4304626105</v>
      </c>
    </row>
    <row r="25" spans="1:6">
      <c r="A25" s="81"/>
      <c r="B25" s="798" t="s">
        <v>2969</v>
      </c>
      <c r="C25" s="800">
        <v>17197020</v>
      </c>
      <c r="D25" s="800">
        <v>0</v>
      </c>
      <c r="E25" s="800">
        <v>55865447</v>
      </c>
      <c r="F25" s="800">
        <v>0</v>
      </c>
    </row>
    <row r="26" spans="1:6">
      <c r="A26" s="81"/>
      <c r="B26" s="798" t="s">
        <v>2970</v>
      </c>
      <c r="C26" s="800">
        <v>7314360</v>
      </c>
      <c r="D26" s="800">
        <v>0</v>
      </c>
      <c r="E26" s="800">
        <v>3137670</v>
      </c>
      <c r="F26" s="800">
        <v>0</v>
      </c>
    </row>
    <row r="27" spans="1:6">
      <c r="A27" s="81"/>
      <c r="B27" s="798" t="s">
        <v>2971</v>
      </c>
      <c r="C27" s="800">
        <v>3873000</v>
      </c>
      <c r="D27" s="800">
        <v>0</v>
      </c>
      <c r="E27" s="800">
        <v>3686020</v>
      </c>
      <c r="F27" s="800">
        <v>0</v>
      </c>
    </row>
    <row r="28" spans="1:6">
      <c r="A28" s="81"/>
      <c r="B28" s="798" t="s">
        <v>2972</v>
      </c>
      <c r="C28" s="800">
        <v>3848659631</v>
      </c>
      <c r="D28" s="800">
        <v>0</v>
      </c>
      <c r="E28" s="800">
        <v>3109891671</v>
      </c>
      <c r="F28" s="800">
        <v>0</v>
      </c>
    </row>
    <row r="29" spans="1:6">
      <c r="A29" s="81"/>
      <c r="B29" s="798" t="s">
        <v>2973</v>
      </c>
      <c r="C29" s="800">
        <v>280036246</v>
      </c>
      <c r="D29" s="800">
        <v>0</v>
      </c>
      <c r="E29" s="800">
        <v>245652488</v>
      </c>
      <c r="F29" s="800">
        <v>0</v>
      </c>
    </row>
    <row r="30" spans="1:6">
      <c r="A30" s="81"/>
      <c r="B30" s="798" t="s">
        <v>2974</v>
      </c>
      <c r="C30" s="800">
        <v>157917400</v>
      </c>
      <c r="D30" s="800">
        <v>0</v>
      </c>
      <c r="E30" s="800">
        <v>131114000</v>
      </c>
      <c r="F30" s="800">
        <v>0</v>
      </c>
    </row>
    <row r="31" spans="1:6">
      <c r="A31" s="81"/>
      <c r="B31" s="798" t="s">
        <v>2975</v>
      </c>
      <c r="C31" s="800">
        <v>39631080</v>
      </c>
      <c r="D31" s="800">
        <v>0</v>
      </c>
      <c r="E31" s="800">
        <v>47662418</v>
      </c>
      <c r="F31" s="800">
        <v>0</v>
      </c>
    </row>
    <row r="32" spans="1:6">
      <c r="A32" s="81"/>
      <c r="B32" s="798" t="s">
        <v>2976</v>
      </c>
      <c r="C32" s="800">
        <v>7715130</v>
      </c>
      <c r="D32" s="800">
        <v>0</v>
      </c>
      <c r="E32" s="800">
        <v>6720000</v>
      </c>
      <c r="F32" s="800">
        <v>0</v>
      </c>
    </row>
    <row r="33" spans="1:6">
      <c r="A33" s="81"/>
      <c r="B33" s="798" t="s">
        <v>2977</v>
      </c>
      <c r="C33" s="800">
        <v>17058150</v>
      </c>
      <c r="D33" s="800">
        <v>0</v>
      </c>
      <c r="E33" s="800">
        <v>21468800</v>
      </c>
      <c r="F33" s="800">
        <v>0</v>
      </c>
    </row>
    <row r="34" spans="1:6">
      <c r="A34" s="81"/>
      <c r="B34" s="798" t="s">
        <v>2978</v>
      </c>
      <c r="C34" s="800">
        <v>1851560</v>
      </c>
      <c r="D34" s="800">
        <v>0</v>
      </c>
      <c r="E34" s="800">
        <v>1609410</v>
      </c>
      <c r="F34" s="800">
        <v>0</v>
      </c>
    </row>
    <row r="35" spans="1:6">
      <c r="A35" s="81"/>
      <c r="B35" s="798" t="s">
        <v>2979</v>
      </c>
      <c r="C35" s="800">
        <v>0</v>
      </c>
      <c r="D35" s="800">
        <v>0</v>
      </c>
      <c r="E35" s="800">
        <v>23532750</v>
      </c>
      <c r="F35" s="800">
        <v>0</v>
      </c>
    </row>
    <row r="36" spans="1:6">
      <c r="A36" s="81"/>
      <c r="B36" s="798" t="s">
        <v>2980</v>
      </c>
      <c r="C36" s="800">
        <v>332402140</v>
      </c>
      <c r="D36" s="800">
        <v>0</v>
      </c>
      <c r="E36" s="800">
        <v>355137310</v>
      </c>
      <c r="F36" s="800">
        <v>0</v>
      </c>
    </row>
    <row r="37" spans="1:6">
      <c r="A37" s="81"/>
      <c r="B37" s="798" t="s">
        <v>2981</v>
      </c>
      <c r="C37" s="800">
        <v>39942100</v>
      </c>
      <c r="D37" s="800">
        <v>0</v>
      </c>
      <c r="E37" s="800">
        <v>44561510</v>
      </c>
      <c r="F37" s="800">
        <v>0</v>
      </c>
    </row>
    <row r="38" spans="1:6">
      <c r="A38" s="81"/>
      <c r="B38" s="798" t="s">
        <v>2982</v>
      </c>
      <c r="C38" s="800">
        <v>660000</v>
      </c>
      <c r="D38" s="800">
        <v>0</v>
      </c>
      <c r="E38" s="800">
        <v>3670920</v>
      </c>
      <c r="F38" s="800">
        <v>0</v>
      </c>
    </row>
    <row r="39" spans="1:6">
      <c r="A39" s="81"/>
      <c r="B39" s="801" t="s">
        <v>2983</v>
      </c>
      <c r="C39" s="800">
        <v>1639010</v>
      </c>
      <c r="D39" s="800">
        <v>0</v>
      </c>
      <c r="E39" s="800">
        <v>2877760</v>
      </c>
      <c r="F39" s="800">
        <v>0</v>
      </c>
    </row>
    <row r="40" spans="1:6">
      <c r="A40" s="81"/>
      <c r="B40" s="801" t="s">
        <v>2984</v>
      </c>
      <c r="C40" s="800">
        <v>1006911</v>
      </c>
      <c r="D40" s="800">
        <v>0</v>
      </c>
      <c r="E40" s="800">
        <v>9155370</v>
      </c>
      <c r="F40" s="800">
        <v>0</v>
      </c>
    </row>
    <row r="41" spans="1:6">
      <c r="A41" s="81"/>
      <c r="B41" s="801" t="s">
        <v>2985</v>
      </c>
      <c r="C41" s="800">
        <v>10100000</v>
      </c>
      <c r="D41" s="800">
        <v>0</v>
      </c>
      <c r="E41" s="800">
        <v>9500000</v>
      </c>
      <c r="F41" s="800">
        <v>0</v>
      </c>
    </row>
    <row r="42" spans="1:6">
      <c r="A42" s="81"/>
      <c r="B42" s="801" t="s">
        <v>2986</v>
      </c>
      <c r="C42" s="800">
        <v>4364455</v>
      </c>
      <c r="D42" s="800">
        <v>0</v>
      </c>
      <c r="E42" s="800">
        <v>1778200</v>
      </c>
      <c r="F42" s="800">
        <v>0</v>
      </c>
    </row>
    <row r="43" spans="1:6">
      <c r="A43" s="81"/>
      <c r="B43" s="801" t="s">
        <v>2987</v>
      </c>
      <c r="C43" s="800">
        <v>4491521</v>
      </c>
      <c r="D43" s="800">
        <v>0</v>
      </c>
      <c r="E43" s="800">
        <v>18700040</v>
      </c>
      <c r="F43" s="800">
        <v>0</v>
      </c>
    </row>
    <row r="44" spans="1:6">
      <c r="A44" s="81"/>
      <c r="B44" s="801" t="s">
        <v>2988</v>
      </c>
      <c r="C44" s="800">
        <v>1945245</v>
      </c>
      <c r="D44" s="800">
        <v>0</v>
      </c>
      <c r="E44" s="800">
        <v>7922660</v>
      </c>
      <c r="F44" s="800">
        <v>0</v>
      </c>
    </row>
    <row r="45" spans="1:6">
      <c r="A45" s="81"/>
      <c r="B45" s="801" t="s">
        <v>2989</v>
      </c>
      <c r="C45" s="800">
        <v>508300</v>
      </c>
      <c r="D45" s="800">
        <v>0</v>
      </c>
      <c r="E45" s="800">
        <v>987080</v>
      </c>
      <c r="F45" s="800">
        <v>0</v>
      </c>
    </row>
    <row r="46" spans="1:6">
      <c r="A46" s="81"/>
      <c r="B46" s="801" t="s">
        <v>2990</v>
      </c>
      <c r="C46" s="800">
        <v>10810872</v>
      </c>
      <c r="D46" s="800">
        <v>0</v>
      </c>
      <c r="E46" s="800">
        <v>10475964</v>
      </c>
      <c r="F46" s="800">
        <v>0</v>
      </c>
    </row>
    <row r="47" spans="1:6">
      <c r="A47" s="81"/>
      <c r="B47" s="801" t="s">
        <v>2991</v>
      </c>
      <c r="C47" s="800">
        <v>1229872</v>
      </c>
      <c r="D47" s="800">
        <v>0</v>
      </c>
      <c r="E47" s="800">
        <v>1283476</v>
      </c>
      <c r="F47" s="800">
        <v>0</v>
      </c>
    </row>
    <row r="48" spans="1:6">
      <c r="A48" s="81"/>
      <c r="B48" s="801" t="s">
        <v>2992</v>
      </c>
      <c r="C48" s="800">
        <v>9207020</v>
      </c>
      <c r="D48" s="800">
        <v>0</v>
      </c>
      <c r="E48" s="800">
        <v>9715850</v>
      </c>
      <c r="F48" s="800">
        <v>0</v>
      </c>
    </row>
    <row r="49" spans="1:6">
      <c r="A49" s="81"/>
      <c r="B49" s="801" t="s">
        <v>2993</v>
      </c>
      <c r="C49" s="800">
        <v>2069800</v>
      </c>
      <c r="D49" s="800">
        <v>0</v>
      </c>
      <c r="E49" s="800">
        <v>5382700</v>
      </c>
      <c r="F49" s="800">
        <v>0</v>
      </c>
    </row>
    <row r="50" spans="1:6">
      <c r="A50" s="81"/>
      <c r="B50" s="801" t="s">
        <v>2994</v>
      </c>
      <c r="C50" s="800">
        <v>590860</v>
      </c>
      <c r="D50" s="800">
        <v>0</v>
      </c>
      <c r="E50" s="800">
        <v>505700</v>
      </c>
      <c r="F50" s="800">
        <v>0</v>
      </c>
    </row>
    <row r="51" spans="1:6">
      <c r="A51" s="81"/>
      <c r="B51" s="801" t="s">
        <v>2995</v>
      </c>
      <c r="C51" s="800">
        <v>20346064</v>
      </c>
      <c r="D51" s="800">
        <v>0</v>
      </c>
      <c r="E51" s="800">
        <v>19532646</v>
      </c>
      <c r="F51" s="800">
        <v>0</v>
      </c>
    </row>
    <row r="52" spans="1:6">
      <c r="A52" s="80"/>
      <c r="B52" s="801" t="s">
        <v>2996</v>
      </c>
      <c r="C52" s="800">
        <v>672100</v>
      </c>
      <c r="D52" s="800">
        <v>0</v>
      </c>
      <c r="E52" s="800">
        <v>878800</v>
      </c>
      <c r="F52" s="800">
        <v>0</v>
      </c>
    </row>
    <row r="53" spans="1:6">
      <c r="A53" s="80"/>
      <c r="B53" s="801" t="s">
        <v>2997</v>
      </c>
      <c r="C53" s="800">
        <v>3406652</v>
      </c>
      <c r="D53" s="800">
        <v>0</v>
      </c>
      <c r="E53" s="800">
        <v>8871710</v>
      </c>
      <c r="F53" s="800">
        <v>0</v>
      </c>
    </row>
    <row r="54" spans="1:6">
      <c r="A54" s="81"/>
      <c r="B54" s="801" t="s">
        <v>2998</v>
      </c>
      <c r="C54" s="800">
        <v>50000</v>
      </c>
      <c r="D54" s="800">
        <v>0</v>
      </c>
      <c r="E54" s="800">
        <v>487800</v>
      </c>
      <c r="F54" s="800">
        <v>0</v>
      </c>
    </row>
    <row r="55" spans="1:6">
      <c r="A55" s="81"/>
      <c r="B55" s="801" t="s">
        <v>2999</v>
      </c>
      <c r="C55" s="800">
        <v>7400</v>
      </c>
      <c r="D55" s="800">
        <v>0</v>
      </c>
      <c r="E55" s="800">
        <v>510750</v>
      </c>
      <c r="F55" s="800">
        <v>0</v>
      </c>
    </row>
    <row r="56" spans="1:6">
      <c r="A56" s="81"/>
      <c r="B56" s="801" t="s">
        <v>3000</v>
      </c>
      <c r="C56" s="800">
        <v>85184908</v>
      </c>
      <c r="D56" s="800">
        <v>0</v>
      </c>
      <c r="E56" s="800">
        <v>76858853</v>
      </c>
      <c r="F56" s="800">
        <v>0</v>
      </c>
    </row>
    <row r="57" spans="1:6">
      <c r="A57" s="81"/>
      <c r="B57" s="801" t="s">
        <v>3001</v>
      </c>
      <c r="C57" s="800">
        <v>0</v>
      </c>
      <c r="D57" s="800">
        <v>0</v>
      </c>
      <c r="E57" s="800">
        <v>499200</v>
      </c>
      <c r="F57" s="800">
        <v>0</v>
      </c>
    </row>
    <row r="58" spans="1:6">
      <c r="A58" s="81"/>
      <c r="B58" s="801" t="s">
        <v>3002</v>
      </c>
      <c r="C58" s="800">
        <v>20897380</v>
      </c>
      <c r="D58" s="800">
        <v>0</v>
      </c>
      <c r="E58" s="800">
        <v>20905410</v>
      </c>
      <c r="F58" s="800">
        <v>0</v>
      </c>
    </row>
    <row r="59" spans="1:6">
      <c r="A59" s="81"/>
      <c r="B59" s="801" t="s">
        <v>3003</v>
      </c>
      <c r="C59" s="800">
        <v>19630</v>
      </c>
      <c r="D59" s="800">
        <v>0</v>
      </c>
      <c r="E59" s="800">
        <v>58400</v>
      </c>
      <c r="F59" s="800">
        <v>0</v>
      </c>
    </row>
    <row r="60" spans="1:6">
      <c r="A60" s="81"/>
      <c r="B60" s="801" t="s">
        <v>3004</v>
      </c>
      <c r="C60" s="800">
        <v>56497350</v>
      </c>
      <c r="D60" s="800">
        <v>0</v>
      </c>
      <c r="E60" s="800">
        <v>44027322</v>
      </c>
      <c r="F60" s="800">
        <v>0</v>
      </c>
    </row>
    <row r="61" spans="1:6">
      <c r="A61" s="81"/>
      <c r="B61" s="798" t="s">
        <v>3005</v>
      </c>
      <c r="C61" s="800">
        <v>0</v>
      </c>
      <c r="D61" s="800">
        <v>301676088</v>
      </c>
      <c r="E61" s="800">
        <v>0</v>
      </c>
      <c r="F61" s="800">
        <v>932748846</v>
      </c>
    </row>
    <row r="62" spans="1:6">
      <c r="A62" s="81"/>
      <c r="B62" s="798" t="s">
        <v>3006</v>
      </c>
      <c r="C62" s="800">
        <v>0</v>
      </c>
      <c r="D62" s="800">
        <v>0</v>
      </c>
      <c r="E62" s="800">
        <v>0</v>
      </c>
      <c r="F62" s="800">
        <v>0</v>
      </c>
    </row>
    <row r="63" spans="1:6">
      <c r="A63" s="80"/>
      <c r="B63" s="798" t="s">
        <v>3007</v>
      </c>
      <c r="C63" s="800">
        <v>0</v>
      </c>
      <c r="D63" s="800">
        <v>39754</v>
      </c>
      <c r="E63" s="800">
        <v>0</v>
      </c>
      <c r="F63" s="800">
        <v>675432</v>
      </c>
    </row>
    <row r="64" spans="1:6">
      <c r="A64" s="81"/>
      <c r="B64" s="801" t="s">
        <v>3008</v>
      </c>
      <c r="C64" s="800">
        <v>39754</v>
      </c>
      <c r="D64" s="800">
        <v>0</v>
      </c>
      <c r="E64" s="800">
        <v>0</v>
      </c>
      <c r="F64" s="800">
        <v>0</v>
      </c>
    </row>
    <row r="65" spans="1:6">
      <c r="A65" s="81"/>
      <c r="B65" s="801" t="s">
        <v>3009</v>
      </c>
      <c r="C65" s="800">
        <v>0</v>
      </c>
      <c r="D65" s="800">
        <v>0</v>
      </c>
      <c r="E65" s="800">
        <v>675432</v>
      </c>
      <c r="F65" s="800">
        <v>0</v>
      </c>
    </row>
    <row r="66" spans="1:6">
      <c r="A66" s="81"/>
      <c r="B66" s="798" t="s">
        <v>3010</v>
      </c>
      <c r="C66" s="800">
        <v>0</v>
      </c>
      <c r="D66" s="800">
        <v>301715842</v>
      </c>
      <c r="E66" s="800">
        <v>0</v>
      </c>
      <c r="F66" s="800">
        <v>933424278</v>
      </c>
    </row>
    <row r="67" spans="1:6">
      <c r="A67" s="81"/>
      <c r="B67" s="798" t="s">
        <v>3011</v>
      </c>
      <c r="C67" s="800">
        <v>0</v>
      </c>
      <c r="D67" s="800">
        <v>0</v>
      </c>
      <c r="E67" s="800">
        <v>0</v>
      </c>
      <c r="F67" s="800">
        <v>0</v>
      </c>
    </row>
    <row r="68" spans="1:6">
      <c r="A68" s="81"/>
      <c r="B68" s="798" t="s">
        <v>3012</v>
      </c>
      <c r="C68" s="800">
        <v>0</v>
      </c>
      <c r="D68" s="800">
        <v>301715842</v>
      </c>
      <c r="E68" s="800">
        <v>0</v>
      </c>
      <c r="F68" s="800">
        <v>933424278</v>
      </c>
    </row>
    <row r="69" spans="1:6">
      <c r="A69" s="81"/>
      <c r="B69" s="82"/>
      <c r="C69" s="83"/>
      <c r="D69" s="82"/>
      <c r="E69" s="83"/>
    </row>
    <row r="70" spans="1:6">
      <c r="A70" s="81"/>
      <c r="B70" s="83"/>
      <c r="C70" s="83"/>
      <c r="D70" s="82"/>
      <c r="E70" s="83"/>
    </row>
    <row r="71" spans="1:6">
      <c r="A71" s="81"/>
      <c r="B71" s="82"/>
      <c r="C71" s="83"/>
      <c r="D71" s="82"/>
      <c r="E71" s="83"/>
    </row>
    <row r="72" spans="1:6">
      <c r="A72" s="80"/>
      <c r="B72" s="83"/>
      <c r="C72" s="82"/>
      <c r="D72" s="83"/>
      <c r="E72" s="82"/>
    </row>
    <row r="73" spans="1:6">
      <c r="A73" s="80"/>
      <c r="B73" s="83"/>
      <c r="C73" s="82"/>
      <c r="D73" s="83"/>
      <c r="E73" s="82"/>
    </row>
    <row r="74" spans="1:6">
      <c r="A74" s="80"/>
      <c r="B74" s="83"/>
      <c r="C74" s="82"/>
      <c r="D74" s="83"/>
      <c r="E74" s="82"/>
    </row>
    <row r="75" spans="1:6">
      <c r="A75" s="81"/>
      <c r="B75" s="82"/>
      <c r="C75" s="83"/>
      <c r="D75" s="82"/>
      <c r="E75" s="83"/>
    </row>
    <row r="76" spans="1:6">
      <c r="A76" s="80"/>
      <c r="B76" s="83"/>
      <c r="C76" s="82"/>
      <c r="D76" s="83"/>
      <c r="E76" s="82"/>
    </row>
    <row r="77" spans="1:6">
      <c r="A77" s="85"/>
      <c r="B77" s="80"/>
      <c r="C77" s="80"/>
      <c r="D77" s="80"/>
      <c r="E77" s="80"/>
    </row>
  </sheetData>
  <mergeCells count="5">
    <mergeCell ref="B3:B4"/>
    <mergeCell ref="C3:D3"/>
    <mergeCell ref="E3:F3"/>
    <mergeCell ref="C4:D4"/>
    <mergeCell ref="E4:F4"/>
  </mergeCells>
  <phoneticPr fontId="3" type="noConversion"/>
  <pageMargins left="0.15748031496062992" right="0.19685039370078741" top="0.35433070866141736" bottom="0.31496062992125984" header="0.27559055118110237" footer="0.1968503937007874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N40"/>
  <sheetViews>
    <sheetView topLeftCell="A31" zoomScaleSheetLayoutView="100" workbookViewId="0">
      <selection activeCell="H15" sqref="H15"/>
    </sheetView>
  </sheetViews>
  <sheetFormatPr defaultRowHeight="16.5" customHeight="1"/>
  <cols>
    <col min="1" max="1" width="2.625" style="150" customWidth="1"/>
    <col min="2" max="2" width="19.125" style="150" customWidth="1"/>
    <col min="3" max="3" width="2.125" style="150" customWidth="1"/>
    <col min="4" max="4" width="16.125" style="150" customWidth="1"/>
    <col min="5" max="5" width="2.125" style="150" customWidth="1"/>
    <col min="6" max="6" width="16.125" style="150" customWidth="1"/>
    <col min="7" max="7" width="2.125" style="150" customWidth="1"/>
    <col min="8" max="8" width="16.125" style="150" customWidth="1"/>
    <col min="9" max="9" width="2.125" style="150" customWidth="1"/>
    <col min="10" max="10" width="16.125" style="150" customWidth="1"/>
    <col min="11" max="11" width="2.125" style="150" customWidth="1"/>
    <col min="12" max="12" width="16.125" style="150" customWidth="1"/>
    <col min="13" max="13" width="2.125" style="150" customWidth="1"/>
    <col min="14" max="14" width="16.125" style="150" customWidth="1"/>
    <col min="15" max="15" width="2.5" style="150" customWidth="1"/>
    <col min="16" max="16" width="16.125" style="150" customWidth="1"/>
    <col min="17" max="16384" width="9" style="150"/>
  </cols>
  <sheetData>
    <row r="1" spans="1:14" ht="16.5" customHeight="1">
      <c r="A1" s="147" t="str">
        <f>기본사항!$C$2</f>
        <v>(재)한국여성재단</v>
      </c>
      <c r="B1" s="148"/>
      <c r="C1" s="148"/>
      <c r="D1" s="148"/>
      <c r="E1" s="148"/>
      <c r="F1" s="148"/>
      <c r="G1" s="1191" t="s">
        <v>112</v>
      </c>
      <c r="H1" s="1192"/>
      <c r="I1" s="1193" t="s">
        <v>241</v>
      </c>
      <c r="J1" s="1193"/>
      <c r="K1" s="149" t="s">
        <v>242</v>
      </c>
      <c r="L1" s="88"/>
    </row>
    <row r="2" spans="1:14" ht="16.5" customHeight="1">
      <c r="A2" s="147" t="s">
        <v>223</v>
      </c>
      <c r="B2" s="148"/>
      <c r="C2" s="148"/>
      <c r="D2" s="148"/>
      <c r="E2" s="148"/>
      <c r="F2" s="148"/>
      <c r="G2" s="1194"/>
      <c r="H2" s="1195"/>
      <c r="I2" s="1198">
        <f>기본사항!$C$14</f>
        <v>40563</v>
      </c>
      <c r="J2" s="1198"/>
      <c r="K2" s="1199" t="str">
        <f>기본사항!$C$17</f>
        <v>Kbj</v>
      </c>
      <c r="L2" s="1200"/>
    </row>
    <row r="3" spans="1:14" ht="16.5" customHeight="1">
      <c r="A3" s="147" t="str">
        <f>기본사항!$C$9</f>
        <v>A : 12-31-2011</v>
      </c>
      <c r="B3" s="148"/>
      <c r="C3" s="148"/>
      <c r="D3" s="148"/>
      <c r="E3" s="148"/>
      <c r="F3" s="148"/>
      <c r="G3" s="1196"/>
      <c r="H3" s="1197"/>
      <c r="I3" s="1198"/>
      <c r="J3" s="1198"/>
      <c r="K3" s="1201"/>
      <c r="L3" s="1202"/>
    </row>
    <row r="4" spans="1:14" ht="16.5" customHeight="1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</row>
    <row r="5" spans="1:14" ht="16.5" customHeight="1">
      <c r="A5" s="227" t="s">
        <v>1085</v>
      </c>
      <c r="B5" s="223" t="s">
        <v>1092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</row>
    <row r="6" spans="1:14" ht="16.5" customHeight="1">
      <c r="A6" s="347"/>
      <c r="B6" s="348" t="s">
        <v>1093</v>
      </c>
      <c r="C6" s="349"/>
      <c r="D6" s="348" t="s">
        <v>1094</v>
      </c>
      <c r="E6" s="350"/>
      <c r="F6" s="350"/>
      <c r="G6" s="350"/>
      <c r="H6" s="350"/>
      <c r="I6" s="351"/>
      <c r="J6" s="350"/>
      <c r="K6" s="351"/>
      <c r="L6" s="350"/>
    </row>
    <row r="7" spans="1:14" ht="16.5" customHeight="1">
      <c r="A7" s="223"/>
      <c r="B7" s="243" t="s">
        <v>1086</v>
      </c>
      <c r="C7" s="243"/>
      <c r="D7" s="243">
        <f>FS_worksheet!$F$75</f>
        <v>10428923726</v>
      </c>
      <c r="E7" s="243"/>
      <c r="F7" s="243"/>
      <c r="G7" s="243"/>
      <c r="H7" s="243"/>
      <c r="I7" s="226"/>
      <c r="J7" s="226"/>
      <c r="K7" s="243"/>
      <c r="L7" s="243"/>
    </row>
    <row r="8" spans="1:14" ht="16.5" customHeight="1">
      <c r="A8" s="223"/>
      <c r="B8" s="243" t="s">
        <v>1087</v>
      </c>
      <c r="C8" s="243"/>
      <c r="D8" s="343">
        <f>FS_worksheet!$F$130</f>
        <v>3371877259</v>
      </c>
      <c r="E8" s="226"/>
      <c r="F8" s="226"/>
      <c r="G8" s="226"/>
      <c r="H8" s="226"/>
      <c r="I8" s="226"/>
      <c r="J8" s="226"/>
      <c r="K8" s="243"/>
      <c r="L8" s="226"/>
    </row>
    <row r="9" spans="1:14" ht="16.5" customHeight="1">
      <c r="A9" s="223"/>
      <c r="B9" s="349" t="s">
        <v>1088</v>
      </c>
      <c r="C9" s="349"/>
      <c r="D9" s="345">
        <f>AVERAGE(D7:D8)</f>
        <v>6900400492.5</v>
      </c>
      <c r="E9" s="226"/>
      <c r="F9" s="344">
        <v>0.01</v>
      </c>
      <c r="G9" s="226"/>
      <c r="H9" s="226">
        <f>ROUND(D9*F9,0)</f>
        <v>69004005</v>
      </c>
      <c r="I9" s="226"/>
      <c r="J9" s="226" t="s">
        <v>1095</v>
      </c>
      <c r="K9" s="243"/>
      <c r="L9" s="226"/>
    </row>
    <row r="10" spans="1:14" ht="16.5" customHeight="1">
      <c r="A10" s="223"/>
      <c r="B10" s="243" t="s">
        <v>1089</v>
      </c>
      <c r="C10" s="243"/>
      <c r="D10" s="343">
        <f>FS_worksheet!$F$117</f>
        <v>8966652712</v>
      </c>
      <c r="E10" s="226"/>
      <c r="F10" s="226"/>
      <c r="G10" s="226"/>
      <c r="H10" s="352"/>
      <c r="I10" s="352"/>
      <c r="J10" s="352"/>
      <c r="K10" s="349"/>
      <c r="L10" s="352"/>
    </row>
    <row r="11" spans="1:14" ht="16.5" customHeight="1">
      <c r="A11" s="223"/>
      <c r="B11" s="243" t="s">
        <v>1090</v>
      </c>
      <c r="C11" s="243"/>
      <c r="D11" s="343">
        <f>FS_worksheet!$F$98</f>
        <v>8253627122</v>
      </c>
      <c r="E11" s="226"/>
      <c r="F11" s="226"/>
      <c r="G11" s="226"/>
      <c r="H11" s="226"/>
      <c r="I11" s="226"/>
      <c r="J11" s="226"/>
      <c r="K11" s="243"/>
      <c r="L11" s="243"/>
    </row>
    <row r="12" spans="1:14" ht="16.5" customHeight="1">
      <c r="A12" s="223"/>
      <c r="B12" s="243" t="s">
        <v>1091</v>
      </c>
      <c r="C12" s="243"/>
      <c r="D12" s="343">
        <f>FS_worksheet!$F$221</f>
        <v>-933424278</v>
      </c>
      <c r="E12" s="226"/>
      <c r="F12" s="226"/>
      <c r="G12" s="226"/>
      <c r="H12" s="226"/>
      <c r="I12" s="226"/>
      <c r="J12" s="226"/>
      <c r="K12" s="243"/>
      <c r="L12" s="226"/>
    </row>
    <row r="13" spans="1:14" ht="16.5" customHeight="1">
      <c r="A13" s="223"/>
      <c r="B13" s="243"/>
      <c r="C13" s="243"/>
      <c r="D13" s="343"/>
      <c r="E13" s="226"/>
      <c r="F13" s="226"/>
      <c r="G13" s="226"/>
      <c r="H13" s="226"/>
      <c r="I13" s="226"/>
      <c r="J13" s="226"/>
      <c r="K13" s="243"/>
      <c r="L13" s="226"/>
      <c r="N13" s="152"/>
    </row>
    <row r="14" spans="1:14" ht="16.5" customHeight="1">
      <c r="A14" s="223"/>
      <c r="B14" s="243" t="s">
        <v>1096</v>
      </c>
      <c r="C14" s="363"/>
      <c r="D14" s="363"/>
      <c r="E14" s="363"/>
      <c r="F14" s="343">
        <f>H9</f>
        <v>69004005</v>
      </c>
      <c r="G14" s="363"/>
      <c r="H14" s="243"/>
      <c r="I14" s="352"/>
      <c r="J14" s="352"/>
      <c r="K14" s="349"/>
      <c r="L14" s="352"/>
      <c r="N14" s="152"/>
    </row>
    <row r="15" spans="1:14" ht="16.5" customHeight="1">
      <c r="A15" s="223"/>
      <c r="B15" s="243" t="s">
        <v>1097</v>
      </c>
      <c r="C15" s="363"/>
      <c r="D15" s="363"/>
      <c r="E15" s="363"/>
      <c r="F15" s="343">
        <f>ROUND($F$14*H15,0)</f>
        <v>276016020</v>
      </c>
      <c r="G15" s="363"/>
      <c r="H15" s="346">
        <v>4</v>
      </c>
      <c r="I15" s="226"/>
      <c r="J15" s="226"/>
      <c r="K15" s="243"/>
      <c r="L15" s="243"/>
      <c r="N15" s="152"/>
    </row>
    <row r="16" spans="1:14" ht="16.5" customHeight="1">
      <c r="A16" s="223"/>
      <c r="B16" s="243" t="s">
        <v>1098</v>
      </c>
      <c r="C16" s="363"/>
      <c r="D16" s="363"/>
      <c r="E16" s="363"/>
      <c r="F16" s="343">
        <f t="shared" ref="F16:F17" si="0">ROUND($F$14*H16,0)</f>
        <v>345020025</v>
      </c>
      <c r="G16" s="363"/>
      <c r="H16" s="346">
        <v>5</v>
      </c>
      <c r="I16" s="352"/>
      <c r="J16" s="352"/>
      <c r="K16" s="349"/>
      <c r="L16" s="352"/>
    </row>
    <row r="17" spans="1:12" ht="16.5" customHeight="1">
      <c r="A17" s="223"/>
      <c r="B17" s="243" t="s">
        <v>1099</v>
      </c>
      <c r="C17" s="363"/>
      <c r="D17" s="363"/>
      <c r="E17" s="363"/>
      <c r="F17" s="343">
        <f t="shared" si="0"/>
        <v>690040050</v>
      </c>
      <c r="G17" s="363"/>
      <c r="H17" s="346">
        <v>10</v>
      </c>
      <c r="I17" s="226"/>
      <c r="J17" s="226"/>
      <c r="K17" s="243"/>
      <c r="L17" s="243"/>
    </row>
    <row r="18" spans="1:12" ht="16.5" customHeight="1">
      <c r="A18" s="223"/>
      <c r="B18" s="243"/>
      <c r="C18" s="243"/>
      <c r="D18" s="226"/>
      <c r="E18" s="226"/>
      <c r="F18" s="226"/>
      <c r="G18" s="226"/>
      <c r="H18" s="226"/>
      <c r="I18" s="226"/>
      <c r="J18" s="243"/>
      <c r="K18" s="243"/>
      <c r="L18" s="243"/>
    </row>
    <row r="19" spans="1:12" ht="16.5" customHeight="1">
      <c r="A19" s="361" t="s">
        <v>1101</v>
      </c>
      <c r="B19" s="223"/>
      <c r="C19" s="223"/>
      <c r="D19" s="223"/>
      <c r="E19" s="223"/>
      <c r="F19" s="223"/>
      <c r="G19" s="223"/>
      <c r="H19" s="223"/>
      <c r="I19" s="226"/>
      <c r="J19" s="243"/>
      <c r="K19" s="243"/>
      <c r="L19" s="243"/>
    </row>
    <row r="20" spans="1:12" ht="32.450000000000003" customHeight="1">
      <c r="A20" s="223"/>
      <c r="B20" s="353" t="s">
        <v>1102</v>
      </c>
      <c r="C20" s="354"/>
      <c r="D20" s="355" t="s">
        <v>1103</v>
      </c>
      <c r="E20" s="356"/>
      <c r="F20" s="358" t="s">
        <v>1104</v>
      </c>
      <c r="G20" s="357"/>
      <c r="H20" s="358" t="s">
        <v>1105</v>
      </c>
      <c r="I20" s="226"/>
      <c r="J20" s="243"/>
      <c r="K20" s="243"/>
      <c r="L20" s="243"/>
    </row>
    <row r="21" spans="1:12" ht="16.5" customHeight="1">
      <c r="A21" s="223"/>
      <c r="B21" s="343">
        <f>ROUND($D$8*0.05,0)</f>
        <v>168593863</v>
      </c>
      <c r="C21" s="343"/>
      <c r="D21" s="343">
        <f>$H$9/$D$8</f>
        <v>2.046456608579654E-2</v>
      </c>
      <c r="E21" s="343"/>
      <c r="F21" s="343">
        <f>$D$12-$H$9</f>
        <v>-1002428283</v>
      </c>
      <c r="G21" s="343"/>
      <c r="H21" s="359" t="str">
        <f>IF($D$12&gt;=0,IF(IF(($H$9-$D$8*5%)&gt;0,"1","0")*IF(($D$12-$H$9)&lt;0,"1","0")=1,"YES","NO"),"NO")</f>
        <v>NO</v>
      </c>
      <c r="I21" s="243"/>
      <c r="J21" s="243"/>
      <c r="K21" s="243"/>
      <c r="L21" s="243"/>
    </row>
    <row r="22" spans="1:12" ht="32.450000000000003" customHeight="1">
      <c r="A22" s="223"/>
      <c r="B22" s="353" t="s">
        <v>1106</v>
      </c>
      <c r="C22" s="354"/>
      <c r="D22" s="355" t="s">
        <v>1107</v>
      </c>
      <c r="E22" s="356"/>
      <c r="F22" s="358" t="s">
        <v>1108</v>
      </c>
      <c r="G22" s="362"/>
      <c r="H22" s="358" t="s">
        <v>1109</v>
      </c>
      <c r="I22" s="243"/>
      <c r="J22" s="243"/>
      <c r="K22" s="243"/>
      <c r="L22" s="243"/>
    </row>
    <row r="23" spans="1:12" ht="16.5" customHeight="1">
      <c r="A23" s="223"/>
      <c r="B23" s="364">
        <f>ROUND($D$11*0.25,0)</f>
        <v>2063406781</v>
      </c>
      <c r="C23" s="364"/>
      <c r="D23" s="365">
        <f>$H$9/$D$11</f>
        <v>8.3604461384098865E-3</v>
      </c>
      <c r="E23" s="365"/>
      <c r="F23" s="343">
        <f>$D$9-$H$9</f>
        <v>6831396487.5</v>
      </c>
      <c r="G23" s="343"/>
      <c r="H23" s="359" t="str">
        <f>IF($D$10&gt;=0,IF(IF(($H$9-$D$11*5%)&gt;0,"1","0")*IF(($D$10-$H$9)&lt;0,"1","0")=1,"YES","NO"),"NO")</f>
        <v>NO</v>
      </c>
      <c r="I23" s="243"/>
      <c r="J23" s="243"/>
      <c r="K23" s="243"/>
      <c r="L23" s="243"/>
    </row>
    <row r="24" spans="1:12" ht="16.5" customHeight="1">
      <c r="A24" s="223"/>
      <c r="B24" s="223"/>
      <c r="C24" s="223"/>
      <c r="D24" s="223"/>
      <c r="E24" s="223"/>
      <c r="F24" s="223"/>
      <c r="G24" s="223"/>
      <c r="H24" s="223"/>
      <c r="I24" s="243"/>
      <c r="J24" s="243"/>
      <c r="K24" s="243"/>
      <c r="L24" s="243"/>
    </row>
    <row r="25" spans="1:12" ht="16.5" customHeight="1">
      <c r="A25" s="361" t="s">
        <v>1110</v>
      </c>
      <c r="B25" s="223"/>
      <c r="C25" s="223"/>
      <c r="D25" s="223"/>
      <c r="E25" s="223"/>
      <c r="F25" s="223"/>
      <c r="G25" s="223"/>
      <c r="H25" s="223"/>
      <c r="I25" s="243"/>
      <c r="J25" s="243"/>
      <c r="K25" s="243"/>
      <c r="L25" s="243"/>
    </row>
    <row r="26" spans="1:12" ht="16.5" customHeight="1">
      <c r="A26" s="223"/>
      <c r="B26" s="223"/>
      <c r="C26" s="223"/>
      <c r="D26" s="223"/>
      <c r="E26" s="223"/>
      <c r="F26" s="223"/>
      <c r="G26" s="223"/>
      <c r="H26" s="223"/>
      <c r="I26" s="243"/>
      <c r="J26" s="243"/>
      <c r="K26" s="243"/>
      <c r="L26" s="243"/>
    </row>
    <row r="27" spans="1:12" ht="16.5" customHeight="1">
      <c r="A27" s="223"/>
      <c r="B27" s="355" t="s">
        <v>1111</v>
      </c>
      <c r="C27" s="243"/>
      <c r="D27" s="355" t="s">
        <v>1112</v>
      </c>
      <c r="E27" s="243"/>
      <c r="F27" s="355" t="s">
        <v>1113</v>
      </c>
      <c r="G27" s="356"/>
      <c r="H27" s="355" t="s">
        <v>1114</v>
      </c>
      <c r="I27" s="223"/>
      <c r="J27" s="223"/>
      <c r="K27" s="223"/>
      <c r="L27" s="223"/>
    </row>
    <row r="28" spans="1:12" ht="16.5" customHeight="1">
      <c r="A28" s="223"/>
      <c r="B28" s="360">
        <v>0</v>
      </c>
      <c r="C28" s="243"/>
      <c r="D28" s="360">
        <v>100</v>
      </c>
      <c r="E28" s="243"/>
      <c r="F28" s="369">
        <v>0.4</v>
      </c>
      <c r="G28" s="356" t="s">
        <v>1100</v>
      </c>
      <c r="H28" s="370">
        <v>2E-3</v>
      </c>
      <c r="I28" s="223"/>
      <c r="J28" s="223"/>
      <c r="K28" s="223"/>
      <c r="L28" s="223"/>
    </row>
    <row r="29" spans="1:12" s="151" customFormat="1" ht="16.5" customHeight="1">
      <c r="A29" s="223"/>
      <c r="B29" s="360">
        <v>100</v>
      </c>
      <c r="C29" s="243"/>
      <c r="D29" s="360">
        <v>300</v>
      </c>
      <c r="E29" s="243"/>
      <c r="F29" s="369">
        <v>0.6</v>
      </c>
      <c r="G29" s="356" t="s">
        <v>1100</v>
      </c>
      <c r="H29" s="370">
        <v>1E-3</v>
      </c>
      <c r="I29" s="225"/>
      <c r="J29" s="225"/>
      <c r="K29" s="225"/>
      <c r="L29" s="225"/>
    </row>
    <row r="30" spans="1:12" ht="16.5" customHeight="1">
      <c r="A30" s="223"/>
      <c r="B30" s="360">
        <v>300</v>
      </c>
      <c r="C30" s="243"/>
      <c r="D30" s="360">
        <v>700</v>
      </c>
      <c r="E30" s="243"/>
      <c r="F30" s="369">
        <v>0.8</v>
      </c>
      <c r="G30" s="356" t="s">
        <v>1100</v>
      </c>
      <c r="H30" s="370">
        <v>5.0000000000000001E-4</v>
      </c>
      <c r="I30" s="223"/>
      <c r="J30" s="223"/>
      <c r="K30" s="223"/>
      <c r="L30" s="223"/>
    </row>
    <row r="31" spans="1:12" ht="16.5" customHeight="1">
      <c r="A31" s="223"/>
      <c r="B31" s="360">
        <v>700</v>
      </c>
      <c r="C31" s="243"/>
      <c r="D31" s="360">
        <v>1000</v>
      </c>
      <c r="E31" s="243"/>
      <c r="F31" s="369">
        <v>1</v>
      </c>
      <c r="G31" s="356" t="s">
        <v>1100</v>
      </c>
      <c r="H31" s="370">
        <v>6.6666999999999996E-4</v>
      </c>
      <c r="I31" s="223"/>
      <c r="J31" s="223"/>
      <c r="K31" s="223"/>
      <c r="L31" s="223"/>
    </row>
    <row r="32" spans="1:12" ht="16.5" customHeight="1">
      <c r="A32" s="223"/>
      <c r="B32" s="360">
        <v>1000</v>
      </c>
      <c r="C32" s="243"/>
      <c r="D32" s="360">
        <v>2000</v>
      </c>
      <c r="E32" s="243"/>
      <c r="F32" s="369">
        <v>1.2</v>
      </c>
      <c r="G32" s="356" t="s">
        <v>1100</v>
      </c>
      <c r="H32" s="370">
        <v>2.9999999999999997E-4</v>
      </c>
      <c r="I32" s="223"/>
      <c r="J32" s="223"/>
      <c r="K32" s="223"/>
      <c r="L32" s="223"/>
    </row>
    <row r="33" spans="1:12" ht="16.5" customHeight="1">
      <c r="A33" s="223"/>
      <c r="B33" s="360">
        <v>2000</v>
      </c>
      <c r="C33" s="243"/>
      <c r="D33" s="360">
        <v>5000</v>
      </c>
      <c r="E33" s="243"/>
      <c r="F33" s="369">
        <v>1.5</v>
      </c>
      <c r="G33" s="356" t="s">
        <v>1100</v>
      </c>
      <c r="H33" s="370">
        <v>1E-4</v>
      </c>
      <c r="I33" s="223"/>
      <c r="J33" s="223"/>
      <c r="K33" s="223"/>
      <c r="L33" s="223"/>
    </row>
    <row r="34" spans="1:12" ht="16.5" customHeight="1">
      <c r="A34" s="223"/>
      <c r="B34" s="360">
        <v>5000</v>
      </c>
      <c r="C34" s="243"/>
      <c r="D34" s="360">
        <v>10000</v>
      </c>
      <c r="E34" s="243"/>
      <c r="F34" s="369">
        <v>1.8</v>
      </c>
      <c r="G34" s="356" t="s">
        <v>1100</v>
      </c>
      <c r="H34" s="370">
        <v>6.0000000000000002E-5</v>
      </c>
      <c r="I34" s="223"/>
      <c r="J34" s="223"/>
      <c r="K34" s="223"/>
      <c r="L34" s="223"/>
    </row>
    <row r="35" spans="1:12" ht="16.5" customHeight="1">
      <c r="A35" s="223"/>
      <c r="B35" s="360">
        <v>10000</v>
      </c>
      <c r="C35" s="243"/>
      <c r="D35" s="360">
        <v>20000</v>
      </c>
      <c r="E35" s="243"/>
      <c r="F35" s="369">
        <v>2.1</v>
      </c>
      <c r="G35" s="356" t="s">
        <v>1100</v>
      </c>
      <c r="H35" s="370">
        <v>3.0000000000000001E-5</v>
      </c>
      <c r="I35" s="223"/>
      <c r="J35" s="223"/>
      <c r="K35" s="223"/>
      <c r="L35" s="223"/>
    </row>
    <row r="36" spans="1:12" ht="16.5" customHeight="1">
      <c r="A36" s="223"/>
      <c r="B36" s="360">
        <v>20000</v>
      </c>
      <c r="C36" s="243"/>
      <c r="D36" s="360">
        <v>50000</v>
      </c>
      <c r="E36" s="243"/>
      <c r="F36" s="369">
        <v>2.4</v>
      </c>
      <c r="G36" s="356" t="s">
        <v>1100</v>
      </c>
      <c r="H36" s="370">
        <v>2.0000000000000002E-5</v>
      </c>
      <c r="I36" s="223"/>
      <c r="J36" s="223"/>
      <c r="K36" s="223"/>
      <c r="L36" s="223"/>
    </row>
    <row r="37" spans="1:12" ht="16.5" customHeight="1">
      <c r="A37" s="223"/>
      <c r="B37" s="360">
        <v>50000</v>
      </c>
      <c r="C37" s="243"/>
      <c r="D37" s="360"/>
      <c r="E37" s="243"/>
      <c r="F37" s="369">
        <v>3</v>
      </c>
      <c r="G37" s="356"/>
      <c r="H37" s="370"/>
      <c r="I37" s="223"/>
      <c r="J37" s="223"/>
      <c r="K37" s="223"/>
      <c r="L37" s="223"/>
    </row>
    <row r="38" spans="1:12" ht="16.5" customHeight="1" thickBot="1">
      <c r="A38" s="223"/>
      <c r="B38" s="356" t="s">
        <v>1088</v>
      </c>
      <c r="C38" s="243"/>
      <c r="D38" s="223"/>
      <c r="E38" s="243"/>
      <c r="F38" s="243"/>
      <c r="G38" s="356"/>
      <c r="H38" s="356" t="s">
        <v>1115</v>
      </c>
      <c r="I38" s="223"/>
      <c r="J38" s="223"/>
      <c r="K38" s="223"/>
      <c r="L38" s="223"/>
    </row>
    <row r="39" spans="1:12" ht="16.5" customHeight="1" thickBot="1">
      <c r="A39" s="223"/>
      <c r="B39" s="366">
        <f>ROUND($D$9/100000000,0)</f>
        <v>69</v>
      </c>
      <c r="C39" s="243"/>
      <c r="D39" s="223"/>
      <c r="E39" s="243"/>
      <c r="F39" s="356" t="s">
        <v>1116</v>
      </c>
      <c r="G39" s="361"/>
      <c r="H39" s="367">
        <f>VLOOKUP($B$39,$B$28:$H$37,5)+VLOOKUP($B$39,$B$28:$H$37,7)*($B$39-VLOOKUP($B$39,$B$28:$H$37,1))</f>
        <v>0.53800000000000003</v>
      </c>
      <c r="I39" s="223"/>
      <c r="J39" s="223"/>
      <c r="K39" s="223"/>
      <c r="L39" s="223"/>
    </row>
    <row r="40" spans="1:12" ht="16.5" customHeight="1">
      <c r="A40" s="223"/>
      <c r="B40" s="243"/>
      <c r="C40" s="243"/>
      <c r="D40" s="243"/>
      <c r="E40" s="243"/>
      <c r="F40" s="368" t="s">
        <v>1117</v>
      </c>
      <c r="G40" s="243"/>
      <c r="H40" s="367">
        <f>IF(B39&lt;700,1,VLOOKUP(B39,B28:H37,5)+VLOOKUP(B39,B28:H37,7)*(B39-VLOOKUP(B39,B28:H37,1)))</f>
        <v>1</v>
      </c>
      <c r="I40" s="223"/>
      <c r="J40" s="223"/>
      <c r="K40" s="223"/>
      <c r="L40" s="223"/>
    </row>
  </sheetData>
  <mergeCells count="5">
    <mergeCell ref="G1:H1"/>
    <mergeCell ref="I1:J1"/>
    <mergeCell ref="G2:H3"/>
    <mergeCell ref="I2:J3"/>
    <mergeCell ref="K2:L3"/>
  </mergeCells>
  <phoneticPr fontId="5" type="noConversion"/>
  <pageMargins left="0.15748031496062992" right="0.19685039370078741" top="0.3543307086614173" bottom="0.31496062992125984" header="0.27559055118110237" footer="0.19685039370078741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2"/>
  <dimension ref="B3:F108"/>
  <sheetViews>
    <sheetView workbookViewId="0">
      <selection activeCell="D16" sqref="D16"/>
    </sheetView>
  </sheetViews>
  <sheetFormatPr defaultRowHeight="16.5"/>
  <cols>
    <col min="1" max="1" width="5" customWidth="1"/>
    <col min="2" max="3" width="12.25" bestFit="1" customWidth="1"/>
    <col min="4" max="4" width="17.25" bestFit="1" customWidth="1"/>
    <col min="5" max="6" width="12.25" bestFit="1" customWidth="1"/>
  </cols>
  <sheetData>
    <row r="3" spans="2:6">
      <c r="B3" s="1248" t="s">
        <v>3028</v>
      </c>
      <c r="C3" s="1248" t="s">
        <v>3028</v>
      </c>
      <c r="D3" s="1248" t="s">
        <v>3029</v>
      </c>
      <c r="E3" s="1248" t="s">
        <v>3030</v>
      </c>
      <c r="F3" s="1248" t="s">
        <v>3030</v>
      </c>
    </row>
    <row r="4" spans="2:6">
      <c r="B4" s="802" t="s">
        <v>3031</v>
      </c>
      <c r="C4" s="802" t="s">
        <v>3032</v>
      </c>
      <c r="D4" s="1248" t="s">
        <v>3029</v>
      </c>
      <c r="E4" s="802" t="s">
        <v>3032</v>
      </c>
      <c r="F4" s="802" t="s">
        <v>3031</v>
      </c>
    </row>
    <row r="5" spans="2:6">
      <c r="B5" s="804">
        <v>10496282150</v>
      </c>
      <c r="C5" s="804">
        <v>30611991014</v>
      </c>
      <c r="D5" s="805" t="s">
        <v>3033</v>
      </c>
      <c r="E5" s="804">
        <v>20563957044</v>
      </c>
      <c r="F5" s="804">
        <v>448248180</v>
      </c>
    </row>
    <row r="6" spans="2:6">
      <c r="B6" s="804">
        <v>7093933717</v>
      </c>
      <c r="C6" s="804">
        <v>27177224911</v>
      </c>
      <c r="D6" s="805" t="s">
        <v>3034</v>
      </c>
      <c r="E6" s="804">
        <v>20083291194</v>
      </c>
      <c r="F6" s="804">
        <v>0</v>
      </c>
    </row>
    <row r="7" spans="2:6">
      <c r="B7" s="804">
        <v>7093933717</v>
      </c>
      <c r="C7" s="804">
        <v>27177224911</v>
      </c>
      <c r="D7" s="805" t="s">
        <v>3035</v>
      </c>
      <c r="E7" s="804">
        <v>20083291194</v>
      </c>
      <c r="F7" s="804">
        <v>0</v>
      </c>
    </row>
    <row r="8" spans="2:6">
      <c r="B8" s="804">
        <v>185560</v>
      </c>
      <c r="C8" s="804">
        <v>6488920</v>
      </c>
      <c r="D8" s="805" t="s">
        <v>3036</v>
      </c>
      <c r="E8" s="804">
        <v>6303360</v>
      </c>
      <c r="F8" s="804">
        <v>0</v>
      </c>
    </row>
    <row r="9" spans="2:6">
      <c r="B9" s="804">
        <v>1150360125</v>
      </c>
      <c r="C9" s="804">
        <v>14671155993</v>
      </c>
      <c r="D9" s="805" t="s">
        <v>3037</v>
      </c>
      <c r="E9" s="804">
        <v>13520795868</v>
      </c>
      <c r="F9" s="804">
        <v>0</v>
      </c>
    </row>
    <row r="10" spans="2:6">
      <c r="B10" s="804">
        <v>5215981410</v>
      </c>
      <c r="C10" s="804">
        <v>10305922753</v>
      </c>
      <c r="D10" s="805" t="s">
        <v>3038</v>
      </c>
      <c r="E10" s="804">
        <v>5089941343</v>
      </c>
      <c r="F10" s="804">
        <v>0</v>
      </c>
    </row>
    <row r="11" spans="2:6">
      <c r="B11" s="804">
        <v>543613000</v>
      </c>
      <c r="C11" s="804">
        <v>1288917119</v>
      </c>
      <c r="D11" s="805" t="s">
        <v>3039</v>
      </c>
      <c r="E11" s="804">
        <v>745304119</v>
      </c>
      <c r="F11" s="804">
        <v>0</v>
      </c>
    </row>
    <row r="12" spans="2:6">
      <c r="B12" s="804">
        <v>4180000</v>
      </c>
      <c r="C12" s="804">
        <v>149368893</v>
      </c>
      <c r="D12" s="805" t="s">
        <v>3040</v>
      </c>
      <c r="E12" s="804">
        <v>145188893</v>
      </c>
      <c r="F12" s="804">
        <v>0</v>
      </c>
    </row>
    <row r="13" spans="2:6">
      <c r="B13" s="804">
        <v>84347246</v>
      </c>
      <c r="C13" s="804">
        <v>177728413</v>
      </c>
      <c r="D13" s="805" t="s">
        <v>3041</v>
      </c>
      <c r="E13" s="804">
        <v>93381167</v>
      </c>
      <c r="F13" s="804">
        <v>0</v>
      </c>
    </row>
    <row r="14" spans="2:6">
      <c r="B14" s="804">
        <v>72297790</v>
      </c>
      <c r="C14" s="804">
        <v>149689790</v>
      </c>
      <c r="D14" s="805" t="s">
        <v>3042</v>
      </c>
      <c r="E14" s="804">
        <v>77392000</v>
      </c>
      <c r="F14" s="804">
        <v>0</v>
      </c>
    </row>
    <row r="15" spans="2:6">
      <c r="B15" s="804">
        <v>0</v>
      </c>
      <c r="C15" s="804">
        <v>323708808</v>
      </c>
      <c r="D15" s="805" t="s">
        <v>3043</v>
      </c>
      <c r="E15" s="804">
        <v>323708808</v>
      </c>
      <c r="F15" s="804">
        <v>0</v>
      </c>
    </row>
    <row r="16" spans="2:6">
      <c r="B16" s="804">
        <v>0</v>
      </c>
      <c r="C16" s="804">
        <v>25121416</v>
      </c>
      <c r="D16" s="805" t="s">
        <v>3044</v>
      </c>
      <c r="E16" s="804">
        <v>25121416</v>
      </c>
      <c r="F16" s="804">
        <v>0</v>
      </c>
    </row>
    <row r="17" spans="2:6">
      <c r="B17" s="804">
        <v>0</v>
      </c>
      <c r="C17" s="804">
        <v>8214220</v>
      </c>
      <c r="D17" s="805" t="s">
        <v>3045</v>
      </c>
      <c r="E17" s="804">
        <v>8214220</v>
      </c>
      <c r="F17" s="804">
        <v>0</v>
      </c>
    </row>
    <row r="18" spans="2:6">
      <c r="B18" s="804">
        <v>0</v>
      </c>
      <c r="C18" s="804">
        <v>1533800</v>
      </c>
      <c r="D18" s="805" t="s">
        <v>3046</v>
      </c>
      <c r="E18" s="804">
        <v>1533800</v>
      </c>
      <c r="F18" s="804">
        <v>0</v>
      </c>
    </row>
    <row r="19" spans="2:6">
      <c r="B19" s="804">
        <v>22968586</v>
      </c>
      <c r="C19" s="804">
        <v>69374786</v>
      </c>
      <c r="D19" s="805" t="s">
        <v>3047</v>
      </c>
      <c r="E19" s="804">
        <v>46406200</v>
      </c>
      <c r="F19" s="804">
        <v>0</v>
      </c>
    </row>
    <row r="20" spans="2:6">
      <c r="B20" s="804">
        <v>3402348433</v>
      </c>
      <c r="C20" s="804">
        <v>3434766103</v>
      </c>
      <c r="D20" s="805" t="s">
        <v>3048</v>
      </c>
      <c r="E20" s="804">
        <v>480665850</v>
      </c>
      <c r="F20" s="804">
        <v>448248180</v>
      </c>
    </row>
    <row r="21" spans="2:6">
      <c r="B21" s="804">
        <v>60128275</v>
      </c>
      <c r="C21" s="804">
        <v>92545945</v>
      </c>
      <c r="D21" s="805" t="s">
        <v>3049</v>
      </c>
      <c r="E21" s="804">
        <v>32417670</v>
      </c>
      <c r="F21" s="804">
        <v>0</v>
      </c>
    </row>
    <row r="22" spans="2:6">
      <c r="B22" s="804">
        <v>15748892</v>
      </c>
      <c r="C22" s="804">
        <v>15748892</v>
      </c>
      <c r="D22" s="805" t="s">
        <v>3050</v>
      </c>
      <c r="E22" s="804">
        <v>0</v>
      </c>
      <c r="F22" s="804">
        <v>0</v>
      </c>
    </row>
    <row r="23" spans="2:6">
      <c r="B23" s="804">
        <v>44379383</v>
      </c>
      <c r="C23" s="804">
        <v>76797053</v>
      </c>
      <c r="D23" s="805" t="s">
        <v>3051</v>
      </c>
      <c r="E23" s="804">
        <v>32417670</v>
      </c>
      <c r="F23" s="804">
        <v>0</v>
      </c>
    </row>
    <row r="24" spans="2:6">
      <c r="B24" s="804">
        <v>3341520158</v>
      </c>
      <c r="C24" s="804">
        <v>3341520158</v>
      </c>
      <c r="D24" s="805" t="s">
        <v>3052</v>
      </c>
      <c r="E24" s="804">
        <v>448248180</v>
      </c>
      <c r="F24" s="804">
        <v>448248180</v>
      </c>
    </row>
    <row r="25" spans="2:6">
      <c r="B25" s="804">
        <v>2254457228</v>
      </c>
      <c r="C25" s="804">
        <v>2254457228</v>
      </c>
      <c r="D25" s="805" t="s">
        <v>3053</v>
      </c>
      <c r="E25" s="804">
        <v>0</v>
      </c>
      <c r="F25" s="804">
        <v>0</v>
      </c>
    </row>
    <row r="26" spans="2:6">
      <c r="B26" s="804">
        <v>960075551</v>
      </c>
      <c r="C26" s="804">
        <v>960075551</v>
      </c>
      <c r="D26" s="805" t="s">
        <v>3054</v>
      </c>
      <c r="E26" s="804">
        <v>0</v>
      </c>
      <c r="F26" s="804">
        <v>0</v>
      </c>
    </row>
    <row r="27" spans="2:6">
      <c r="B27" s="804">
        <v>0</v>
      </c>
      <c r="C27" s="804">
        <v>0</v>
      </c>
      <c r="D27" s="805" t="s">
        <v>3055</v>
      </c>
      <c r="E27" s="804">
        <v>336740948</v>
      </c>
      <c r="F27" s="804">
        <v>336740948</v>
      </c>
    </row>
    <row r="28" spans="2:6">
      <c r="B28" s="804">
        <v>126987379</v>
      </c>
      <c r="C28" s="804">
        <v>126987379</v>
      </c>
      <c r="D28" s="805" t="s">
        <v>3056</v>
      </c>
      <c r="E28" s="804">
        <v>0</v>
      </c>
      <c r="F28" s="804">
        <v>0</v>
      </c>
    </row>
    <row r="29" spans="2:6">
      <c r="B29" s="804">
        <v>0</v>
      </c>
      <c r="C29" s="804">
        <v>0</v>
      </c>
      <c r="D29" s="805" t="s">
        <v>3055</v>
      </c>
      <c r="E29" s="804">
        <v>111507232</v>
      </c>
      <c r="F29" s="804">
        <v>111507232</v>
      </c>
    </row>
    <row r="30" spans="2:6">
      <c r="B30" s="804">
        <v>700000</v>
      </c>
      <c r="C30" s="804">
        <v>700000</v>
      </c>
      <c r="D30" s="805" t="s">
        <v>3057</v>
      </c>
      <c r="E30" s="804">
        <v>0</v>
      </c>
      <c r="F30" s="804">
        <v>0</v>
      </c>
    </row>
    <row r="31" spans="2:6">
      <c r="B31" s="804">
        <v>700000</v>
      </c>
      <c r="C31" s="804">
        <v>700000</v>
      </c>
      <c r="D31" s="805" t="s">
        <v>3058</v>
      </c>
      <c r="E31" s="804">
        <v>0</v>
      </c>
      <c r="F31" s="804">
        <v>0</v>
      </c>
    </row>
    <row r="32" spans="2:6">
      <c r="B32" s="804">
        <v>0</v>
      </c>
      <c r="C32" s="804">
        <v>1904142390</v>
      </c>
      <c r="D32" s="805" t="s">
        <v>3059</v>
      </c>
      <c r="E32" s="804">
        <v>3152911899</v>
      </c>
      <c r="F32" s="804">
        <v>1248769509</v>
      </c>
    </row>
    <row r="33" spans="2:6">
      <c r="B33" s="804">
        <v>0</v>
      </c>
      <c r="C33" s="804">
        <v>1442264730</v>
      </c>
      <c r="D33" s="805" t="s">
        <v>3060</v>
      </c>
      <c r="E33" s="804">
        <v>1889306302</v>
      </c>
      <c r="F33" s="804">
        <v>447041572</v>
      </c>
    </row>
    <row r="34" spans="2:6">
      <c r="B34" s="804">
        <v>0</v>
      </c>
      <c r="C34" s="804">
        <v>143425544</v>
      </c>
      <c r="D34" s="805" t="s">
        <v>3061</v>
      </c>
      <c r="E34" s="804">
        <v>182774130</v>
      </c>
      <c r="F34" s="804">
        <v>39348586</v>
      </c>
    </row>
    <row r="35" spans="2:6">
      <c r="B35" s="804">
        <v>0</v>
      </c>
      <c r="C35" s="804">
        <v>53583240</v>
      </c>
      <c r="D35" s="805" t="s">
        <v>3062</v>
      </c>
      <c r="E35" s="804">
        <v>55383010</v>
      </c>
      <c r="F35" s="804">
        <v>1799770</v>
      </c>
    </row>
    <row r="36" spans="2:6">
      <c r="B36" s="804">
        <v>0</v>
      </c>
      <c r="C36" s="804">
        <v>13613985</v>
      </c>
      <c r="D36" s="805" t="s">
        <v>3063</v>
      </c>
      <c r="E36" s="804">
        <v>13613985</v>
      </c>
      <c r="F36" s="804">
        <v>0</v>
      </c>
    </row>
    <row r="37" spans="2:6">
      <c r="B37" s="804">
        <v>0</v>
      </c>
      <c r="C37" s="804">
        <v>1231641961</v>
      </c>
      <c r="D37" s="805" t="s">
        <v>3064</v>
      </c>
      <c r="E37" s="804">
        <v>1637535177</v>
      </c>
      <c r="F37" s="804">
        <v>405893216</v>
      </c>
    </row>
    <row r="38" spans="2:6">
      <c r="B38" s="804">
        <v>0</v>
      </c>
      <c r="C38" s="804">
        <v>461877660</v>
      </c>
      <c r="D38" s="805" t="s">
        <v>3065</v>
      </c>
      <c r="E38" s="804">
        <v>1263605597</v>
      </c>
      <c r="F38" s="804">
        <v>801727937</v>
      </c>
    </row>
    <row r="39" spans="2:6">
      <c r="B39" s="804">
        <v>0</v>
      </c>
      <c r="C39" s="804">
        <v>329459990</v>
      </c>
      <c r="D39" s="805" t="s">
        <v>3066</v>
      </c>
      <c r="E39" s="804">
        <v>886220247</v>
      </c>
      <c r="F39" s="804">
        <v>556760257</v>
      </c>
    </row>
    <row r="40" spans="2:6">
      <c r="B40" s="804">
        <v>0</v>
      </c>
      <c r="C40" s="804">
        <v>100000000</v>
      </c>
      <c r="D40" s="805" t="s">
        <v>3067</v>
      </c>
      <c r="E40" s="804">
        <v>260000000</v>
      </c>
      <c r="F40" s="804">
        <v>160000000</v>
      </c>
    </row>
    <row r="41" spans="2:6">
      <c r="B41" s="804">
        <v>0</v>
      </c>
      <c r="C41" s="804">
        <v>32417670</v>
      </c>
      <c r="D41" s="805" t="s">
        <v>3068</v>
      </c>
      <c r="E41" s="804">
        <v>117385350</v>
      </c>
      <c r="F41" s="804">
        <v>84967680</v>
      </c>
    </row>
    <row r="42" spans="2:6">
      <c r="B42" s="804">
        <v>0</v>
      </c>
      <c r="C42" s="804">
        <v>6400945993</v>
      </c>
      <c r="D42" s="805" t="s">
        <v>3069</v>
      </c>
      <c r="E42" s="804">
        <v>15200210454</v>
      </c>
      <c r="F42" s="804">
        <v>8799264461</v>
      </c>
    </row>
    <row r="43" spans="2:6">
      <c r="B43" s="804">
        <v>0</v>
      </c>
      <c r="C43" s="804">
        <v>0</v>
      </c>
      <c r="D43" s="805" t="s">
        <v>3070</v>
      </c>
      <c r="E43" s="804">
        <v>8383708189</v>
      </c>
      <c r="F43" s="804">
        <v>8383708189</v>
      </c>
    </row>
    <row r="44" spans="2:6">
      <c r="B44" s="804">
        <v>0</v>
      </c>
      <c r="C44" s="804">
        <v>0</v>
      </c>
      <c r="D44" s="805" t="s">
        <v>3071</v>
      </c>
      <c r="E44" s="804">
        <v>8383708189</v>
      </c>
      <c r="F44" s="804">
        <v>8383708189</v>
      </c>
    </row>
    <row r="45" spans="2:6">
      <c r="B45" s="804">
        <v>0</v>
      </c>
      <c r="C45" s="804">
        <v>4989342921</v>
      </c>
      <c r="D45" s="805" t="s">
        <v>3072</v>
      </c>
      <c r="E45" s="804">
        <v>4989342921</v>
      </c>
      <c r="F45" s="804">
        <v>0</v>
      </c>
    </row>
    <row r="46" spans="2:6">
      <c r="B46" s="804">
        <v>0</v>
      </c>
      <c r="C46" s="804">
        <v>4989342921</v>
      </c>
      <c r="D46" s="805" t="s">
        <v>3073</v>
      </c>
      <c r="E46" s="804">
        <v>4989342921</v>
      </c>
      <c r="F46" s="804">
        <v>0</v>
      </c>
    </row>
    <row r="47" spans="2:6">
      <c r="B47" s="804">
        <v>0</v>
      </c>
      <c r="C47" s="804">
        <v>0</v>
      </c>
      <c r="D47" s="805" t="s">
        <v>3074</v>
      </c>
      <c r="E47" s="804">
        <v>11470578</v>
      </c>
      <c r="F47" s="804">
        <v>11470578</v>
      </c>
    </row>
    <row r="48" spans="2:6">
      <c r="B48" s="804">
        <v>0</v>
      </c>
      <c r="C48" s="804">
        <v>0</v>
      </c>
      <c r="D48" s="805" t="s">
        <v>3075</v>
      </c>
      <c r="E48" s="804">
        <v>11470578</v>
      </c>
      <c r="F48" s="804">
        <v>11470578</v>
      </c>
    </row>
    <row r="49" spans="2:6">
      <c r="B49" s="804">
        <v>0</v>
      </c>
      <c r="C49" s="804">
        <v>1411603072</v>
      </c>
      <c r="D49" s="805" t="s">
        <v>3076</v>
      </c>
      <c r="E49" s="804">
        <v>1815688766</v>
      </c>
      <c r="F49" s="804">
        <v>404085694</v>
      </c>
    </row>
    <row r="50" spans="2:6">
      <c r="B50" s="804">
        <v>0</v>
      </c>
      <c r="C50" s="804">
        <v>0</v>
      </c>
      <c r="D50" s="805" t="s">
        <v>3077</v>
      </c>
      <c r="E50" s="804">
        <v>2726732</v>
      </c>
      <c r="F50" s="804">
        <v>2726732</v>
      </c>
    </row>
    <row r="51" spans="2:6">
      <c r="B51" s="804">
        <v>0</v>
      </c>
      <c r="C51" s="804">
        <v>705801536</v>
      </c>
      <c r="D51" s="805" t="s">
        <v>3078</v>
      </c>
      <c r="E51" s="804">
        <v>1107160498</v>
      </c>
      <c r="F51" s="804">
        <v>401358962</v>
      </c>
    </row>
    <row r="52" spans="2:6">
      <c r="B52" s="804">
        <v>0</v>
      </c>
      <c r="C52" s="804">
        <v>705801536</v>
      </c>
      <c r="D52" s="805" t="s">
        <v>3079</v>
      </c>
      <c r="E52" s="804">
        <v>705801536</v>
      </c>
      <c r="F52" s="804">
        <v>0</v>
      </c>
    </row>
    <row r="53" spans="2:6">
      <c r="B53" s="804">
        <v>0</v>
      </c>
      <c r="C53" s="804">
        <v>9676970000</v>
      </c>
      <c r="D53" s="805" t="s">
        <v>3080</v>
      </c>
      <c r="E53" s="804">
        <v>9676970000</v>
      </c>
      <c r="F53" s="804">
        <v>0</v>
      </c>
    </row>
    <row r="54" spans="2:6">
      <c r="B54" s="804">
        <v>0</v>
      </c>
      <c r="C54" s="804">
        <v>4687627079</v>
      </c>
      <c r="D54" s="805" t="s">
        <v>3081</v>
      </c>
      <c r="E54" s="804">
        <v>4687627079</v>
      </c>
      <c r="F54" s="804">
        <v>0</v>
      </c>
    </row>
    <row r="55" spans="2:6">
      <c r="B55" s="804">
        <v>0</v>
      </c>
      <c r="C55" s="804">
        <v>186888950</v>
      </c>
      <c r="D55" s="805" t="s">
        <v>3082</v>
      </c>
      <c r="E55" s="804">
        <v>186888950</v>
      </c>
      <c r="F55" s="804">
        <v>0</v>
      </c>
    </row>
    <row r="56" spans="2:6">
      <c r="B56" s="804">
        <v>0</v>
      </c>
      <c r="C56" s="804">
        <v>125504908</v>
      </c>
      <c r="D56" s="805" t="s">
        <v>3083</v>
      </c>
      <c r="E56" s="804">
        <v>125504908</v>
      </c>
      <c r="F56" s="804">
        <v>0</v>
      </c>
    </row>
    <row r="57" spans="2:6">
      <c r="B57" s="804">
        <v>0</v>
      </c>
      <c r="C57" s="804">
        <v>3793390380</v>
      </c>
      <c r="D57" s="805" t="s">
        <v>3084</v>
      </c>
      <c r="E57" s="804">
        <v>3793390380</v>
      </c>
      <c r="F57" s="804">
        <v>0</v>
      </c>
    </row>
    <row r="58" spans="2:6">
      <c r="B58" s="804">
        <v>0</v>
      </c>
      <c r="C58" s="804">
        <v>231654162</v>
      </c>
      <c r="D58" s="805" t="s">
        <v>3085</v>
      </c>
      <c r="E58" s="804">
        <v>231654162</v>
      </c>
      <c r="F58" s="804">
        <v>0</v>
      </c>
    </row>
    <row r="59" spans="2:6">
      <c r="B59" s="804">
        <v>0</v>
      </c>
      <c r="C59" s="804">
        <v>158666000</v>
      </c>
      <c r="D59" s="805" t="s">
        <v>3086</v>
      </c>
      <c r="E59" s="804">
        <v>158666000</v>
      </c>
      <c r="F59" s="804">
        <v>0</v>
      </c>
    </row>
    <row r="60" spans="2:6">
      <c r="B60" s="804">
        <v>0</v>
      </c>
      <c r="C60" s="804">
        <v>233400</v>
      </c>
      <c r="D60" s="805" t="s">
        <v>3087</v>
      </c>
      <c r="E60" s="804">
        <v>233400</v>
      </c>
      <c r="F60" s="804">
        <v>0</v>
      </c>
    </row>
    <row r="61" spans="2:6">
      <c r="B61" s="804">
        <v>0</v>
      </c>
      <c r="C61" s="804">
        <v>500000</v>
      </c>
      <c r="D61" s="805" t="s">
        <v>3088</v>
      </c>
      <c r="E61" s="804">
        <v>500000</v>
      </c>
      <c r="F61" s="804">
        <v>0</v>
      </c>
    </row>
    <row r="62" spans="2:6">
      <c r="B62" s="804">
        <v>0</v>
      </c>
      <c r="C62" s="804">
        <v>31773000</v>
      </c>
      <c r="D62" s="805" t="s">
        <v>3089</v>
      </c>
      <c r="E62" s="804">
        <v>31773000</v>
      </c>
      <c r="F62" s="804">
        <v>0</v>
      </c>
    </row>
    <row r="63" spans="2:6">
      <c r="B63" s="804">
        <v>0</v>
      </c>
      <c r="C63" s="804">
        <v>72297790</v>
      </c>
      <c r="D63" s="805" t="s">
        <v>3090</v>
      </c>
      <c r="E63" s="804">
        <v>72297790</v>
      </c>
      <c r="F63" s="804">
        <v>0</v>
      </c>
    </row>
    <row r="64" spans="2:6">
      <c r="B64" s="804">
        <v>0</v>
      </c>
      <c r="C64" s="804">
        <v>32200000</v>
      </c>
      <c r="D64" s="805" t="s">
        <v>3091</v>
      </c>
      <c r="E64" s="804">
        <v>32200000</v>
      </c>
      <c r="F64" s="804">
        <v>0</v>
      </c>
    </row>
    <row r="65" spans="2:6">
      <c r="B65" s="804">
        <v>0</v>
      </c>
      <c r="C65" s="804">
        <v>22731883</v>
      </c>
      <c r="D65" s="805" t="s">
        <v>3092</v>
      </c>
      <c r="E65" s="804">
        <v>22731883</v>
      </c>
      <c r="F65" s="804">
        <v>0</v>
      </c>
    </row>
    <row r="66" spans="2:6">
      <c r="B66" s="804">
        <v>0</v>
      </c>
      <c r="C66" s="804">
        <v>11677290</v>
      </c>
      <c r="D66" s="805" t="s">
        <v>3093</v>
      </c>
      <c r="E66" s="804">
        <v>11677290</v>
      </c>
      <c r="F66" s="804">
        <v>0</v>
      </c>
    </row>
    <row r="67" spans="2:6">
      <c r="B67" s="804">
        <v>0</v>
      </c>
      <c r="C67" s="804">
        <v>9702800</v>
      </c>
      <c r="D67" s="805" t="s">
        <v>3094</v>
      </c>
      <c r="E67" s="804">
        <v>9702800</v>
      </c>
      <c r="F67" s="804">
        <v>0</v>
      </c>
    </row>
    <row r="68" spans="2:6">
      <c r="B68" s="804">
        <v>0</v>
      </c>
      <c r="C68" s="804">
        <v>1538600</v>
      </c>
      <c r="D68" s="805" t="s">
        <v>3095</v>
      </c>
      <c r="E68" s="804">
        <v>1538600</v>
      </c>
      <c r="F68" s="804">
        <v>0</v>
      </c>
    </row>
    <row r="69" spans="2:6">
      <c r="B69" s="804">
        <v>0</v>
      </c>
      <c r="C69" s="804">
        <v>8232916</v>
      </c>
      <c r="D69" s="805" t="s">
        <v>3096</v>
      </c>
      <c r="E69" s="804">
        <v>8232916</v>
      </c>
      <c r="F69" s="804">
        <v>0</v>
      </c>
    </row>
    <row r="70" spans="2:6">
      <c r="B70" s="804">
        <v>0</v>
      </c>
      <c r="C70" s="804">
        <v>635000</v>
      </c>
      <c r="D70" s="805" t="s">
        <v>3097</v>
      </c>
      <c r="E70" s="804">
        <v>635000</v>
      </c>
      <c r="F70" s="804">
        <v>0</v>
      </c>
    </row>
    <row r="71" spans="2:6">
      <c r="B71" s="804">
        <v>0</v>
      </c>
      <c r="C71" s="804">
        <v>4989303167</v>
      </c>
      <c r="D71" s="805" t="s">
        <v>3098</v>
      </c>
      <c r="E71" s="804">
        <v>4989303167</v>
      </c>
      <c r="F71" s="804">
        <v>0</v>
      </c>
    </row>
    <row r="72" spans="2:6">
      <c r="B72" s="804">
        <v>0</v>
      </c>
      <c r="C72" s="804">
        <v>17197020</v>
      </c>
      <c r="D72" s="805" t="s">
        <v>3099</v>
      </c>
      <c r="E72" s="804">
        <v>17197020</v>
      </c>
      <c r="F72" s="804">
        <v>0</v>
      </c>
    </row>
    <row r="73" spans="2:6">
      <c r="B73" s="804">
        <v>0</v>
      </c>
      <c r="C73" s="804">
        <v>7314360</v>
      </c>
      <c r="D73" s="805" t="s">
        <v>3100</v>
      </c>
      <c r="E73" s="804">
        <v>7314360</v>
      </c>
      <c r="F73" s="804">
        <v>0</v>
      </c>
    </row>
    <row r="74" spans="2:6">
      <c r="B74" s="804">
        <v>0</v>
      </c>
      <c r="C74" s="804">
        <v>3873000</v>
      </c>
      <c r="D74" s="805" t="s">
        <v>3101</v>
      </c>
      <c r="E74" s="804">
        <v>3873000</v>
      </c>
      <c r="F74" s="804">
        <v>0</v>
      </c>
    </row>
    <row r="75" spans="2:6">
      <c r="B75" s="804">
        <v>0</v>
      </c>
      <c r="C75" s="804">
        <v>3848659631</v>
      </c>
      <c r="D75" s="805" t="s">
        <v>3102</v>
      </c>
      <c r="E75" s="804">
        <v>3848659631</v>
      </c>
      <c r="F75" s="804">
        <v>0</v>
      </c>
    </row>
    <row r="76" spans="2:6">
      <c r="B76" s="804">
        <v>0</v>
      </c>
      <c r="C76" s="804">
        <v>280036246</v>
      </c>
      <c r="D76" s="805" t="s">
        <v>3103</v>
      </c>
      <c r="E76" s="804">
        <v>280036246</v>
      </c>
      <c r="F76" s="804">
        <v>0</v>
      </c>
    </row>
    <row r="77" spans="2:6">
      <c r="B77" s="804">
        <v>0</v>
      </c>
      <c r="C77" s="804">
        <v>157917400</v>
      </c>
      <c r="D77" s="805" t="s">
        <v>3104</v>
      </c>
      <c r="E77" s="804">
        <v>157917400</v>
      </c>
      <c r="F77" s="804">
        <v>0</v>
      </c>
    </row>
    <row r="78" spans="2:6">
      <c r="B78" s="804">
        <v>0</v>
      </c>
      <c r="C78" s="804">
        <v>39631080</v>
      </c>
      <c r="D78" s="805" t="s">
        <v>3105</v>
      </c>
      <c r="E78" s="804">
        <v>39631080</v>
      </c>
      <c r="F78" s="804">
        <v>0</v>
      </c>
    </row>
    <row r="79" spans="2:6">
      <c r="B79" s="804">
        <v>0</v>
      </c>
      <c r="C79" s="804">
        <v>7715130</v>
      </c>
      <c r="D79" s="805" t="s">
        <v>3106</v>
      </c>
      <c r="E79" s="804">
        <v>7715130</v>
      </c>
      <c r="F79" s="804">
        <v>0</v>
      </c>
    </row>
    <row r="80" spans="2:6">
      <c r="B80" s="804">
        <v>0</v>
      </c>
      <c r="C80" s="804">
        <v>17058150</v>
      </c>
      <c r="D80" s="805" t="s">
        <v>3107</v>
      </c>
      <c r="E80" s="804">
        <v>17058150</v>
      </c>
      <c r="F80" s="804">
        <v>0</v>
      </c>
    </row>
    <row r="81" spans="2:6">
      <c r="B81" s="804">
        <v>0</v>
      </c>
      <c r="C81" s="804">
        <v>1851560</v>
      </c>
      <c r="D81" s="805" t="s">
        <v>3108</v>
      </c>
      <c r="E81" s="804">
        <v>1851560</v>
      </c>
      <c r="F81" s="804">
        <v>0</v>
      </c>
    </row>
    <row r="82" spans="2:6">
      <c r="B82" s="804">
        <v>0</v>
      </c>
      <c r="C82" s="804">
        <v>332402140</v>
      </c>
      <c r="D82" s="805" t="s">
        <v>3109</v>
      </c>
      <c r="E82" s="804">
        <v>332402140</v>
      </c>
      <c r="F82" s="804">
        <v>0</v>
      </c>
    </row>
    <row r="83" spans="2:6">
      <c r="B83" s="804">
        <v>0</v>
      </c>
      <c r="C83" s="804">
        <v>39942100</v>
      </c>
      <c r="D83" s="805" t="s">
        <v>3110</v>
      </c>
      <c r="E83" s="804">
        <v>39942100</v>
      </c>
      <c r="F83" s="804">
        <v>0</v>
      </c>
    </row>
    <row r="84" spans="2:6">
      <c r="B84" s="804">
        <v>0</v>
      </c>
      <c r="C84" s="804">
        <v>660000</v>
      </c>
      <c r="D84" s="805" t="s">
        <v>3111</v>
      </c>
      <c r="E84" s="804">
        <v>660000</v>
      </c>
      <c r="F84" s="804">
        <v>0</v>
      </c>
    </row>
    <row r="85" spans="2:6">
      <c r="B85" s="804">
        <v>0</v>
      </c>
      <c r="C85" s="804">
        <v>1639010</v>
      </c>
      <c r="D85" s="805" t="s">
        <v>3112</v>
      </c>
      <c r="E85" s="804">
        <v>1639010</v>
      </c>
      <c r="F85" s="804">
        <v>0</v>
      </c>
    </row>
    <row r="86" spans="2:6">
      <c r="B86" s="804">
        <v>0</v>
      </c>
      <c r="C86" s="804">
        <v>1006911</v>
      </c>
      <c r="D86" s="805" t="s">
        <v>3113</v>
      </c>
      <c r="E86" s="804">
        <v>1006911</v>
      </c>
      <c r="F86" s="804">
        <v>0</v>
      </c>
    </row>
    <row r="87" spans="2:6">
      <c r="B87" s="804">
        <v>0</v>
      </c>
      <c r="C87" s="804">
        <v>10100000</v>
      </c>
      <c r="D87" s="805" t="s">
        <v>3114</v>
      </c>
      <c r="E87" s="804">
        <v>10100000</v>
      </c>
      <c r="F87" s="804">
        <v>0</v>
      </c>
    </row>
    <row r="88" spans="2:6">
      <c r="B88" s="804">
        <v>0</v>
      </c>
      <c r="C88" s="804">
        <v>4364455</v>
      </c>
      <c r="D88" s="805" t="s">
        <v>3115</v>
      </c>
      <c r="E88" s="804">
        <v>4364455</v>
      </c>
      <c r="F88" s="804">
        <v>0</v>
      </c>
    </row>
    <row r="89" spans="2:6">
      <c r="B89" s="804">
        <v>0</v>
      </c>
      <c r="C89" s="804">
        <v>4491521</v>
      </c>
      <c r="D89" s="805" t="s">
        <v>3116</v>
      </c>
      <c r="E89" s="804">
        <v>4491521</v>
      </c>
      <c r="F89" s="804">
        <v>0</v>
      </c>
    </row>
    <row r="90" spans="2:6">
      <c r="B90" s="804">
        <v>0</v>
      </c>
      <c r="C90" s="804">
        <v>1945245</v>
      </c>
      <c r="D90" s="805" t="s">
        <v>3117</v>
      </c>
      <c r="E90" s="804">
        <v>1945245</v>
      </c>
      <c r="F90" s="804">
        <v>0</v>
      </c>
    </row>
    <row r="91" spans="2:6">
      <c r="B91" s="804">
        <v>0</v>
      </c>
      <c r="C91" s="804">
        <v>508300</v>
      </c>
      <c r="D91" s="805" t="s">
        <v>3118</v>
      </c>
      <c r="E91" s="804">
        <v>508300</v>
      </c>
      <c r="F91" s="804">
        <v>0</v>
      </c>
    </row>
    <row r="92" spans="2:6">
      <c r="B92" s="804">
        <v>0</v>
      </c>
      <c r="C92" s="804">
        <v>10810872</v>
      </c>
      <c r="D92" s="805" t="s">
        <v>1013</v>
      </c>
      <c r="E92" s="804">
        <v>10810872</v>
      </c>
      <c r="F92" s="804">
        <v>0</v>
      </c>
    </row>
    <row r="93" spans="2:6">
      <c r="B93" s="804">
        <v>0</v>
      </c>
      <c r="C93" s="804">
        <v>1229872</v>
      </c>
      <c r="D93" s="805" t="s">
        <v>3119</v>
      </c>
      <c r="E93" s="804">
        <v>1229872</v>
      </c>
      <c r="F93" s="804">
        <v>0</v>
      </c>
    </row>
    <row r="94" spans="2:6">
      <c r="B94" s="804">
        <v>0</v>
      </c>
      <c r="C94" s="804">
        <v>9207020</v>
      </c>
      <c r="D94" s="805" t="s">
        <v>3120</v>
      </c>
      <c r="E94" s="804">
        <v>9207020</v>
      </c>
      <c r="F94" s="804">
        <v>0</v>
      </c>
    </row>
    <row r="95" spans="2:6">
      <c r="B95" s="804">
        <v>0</v>
      </c>
      <c r="C95" s="804">
        <v>2069800</v>
      </c>
      <c r="D95" s="805" t="s">
        <v>3121</v>
      </c>
      <c r="E95" s="804">
        <v>2069800</v>
      </c>
      <c r="F95" s="804">
        <v>0</v>
      </c>
    </row>
    <row r="96" spans="2:6">
      <c r="B96" s="804">
        <v>0</v>
      </c>
      <c r="C96" s="804">
        <v>590860</v>
      </c>
      <c r="D96" s="805" t="s">
        <v>3122</v>
      </c>
      <c r="E96" s="804">
        <v>590860</v>
      </c>
      <c r="F96" s="804">
        <v>0</v>
      </c>
    </row>
    <row r="97" spans="2:6">
      <c r="B97" s="804">
        <v>0</v>
      </c>
      <c r="C97" s="804">
        <v>20346064</v>
      </c>
      <c r="D97" s="805" t="s">
        <v>3123</v>
      </c>
      <c r="E97" s="804">
        <v>20346064</v>
      </c>
      <c r="F97" s="804">
        <v>0</v>
      </c>
    </row>
    <row r="98" spans="2:6">
      <c r="B98" s="804">
        <v>0</v>
      </c>
      <c r="C98" s="804">
        <v>672100</v>
      </c>
      <c r="D98" s="805" t="s">
        <v>3124</v>
      </c>
      <c r="E98" s="804">
        <v>672100</v>
      </c>
      <c r="F98" s="804">
        <v>0</v>
      </c>
    </row>
    <row r="99" spans="2:6">
      <c r="B99" s="804">
        <v>0</v>
      </c>
      <c r="C99" s="804">
        <v>3406652</v>
      </c>
      <c r="D99" s="805" t="s">
        <v>3125</v>
      </c>
      <c r="E99" s="804">
        <v>3406652</v>
      </c>
      <c r="F99" s="804">
        <v>0</v>
      </c>
    </row>
    <row r="100" spans="2:6">
      <c r="B100" s="804">
        <v>0</v>
      </c>
      <c r="C100" s="804">
        <v>50000</v>
      </c>
      <c r="D100" s="805" t="s">
        <v>3126</v>
      </c>
      <c r="E100" s="804">
        <v>50000</v>
      </c>
      <c r="F100" s="804">
        <v>0</v>
      </c>
    </row>
    <row r="101" spans="2:6">
      <c r="B101" s="804">
        <v>0</v>
      </c>
      <c r="C101" s="804">
        <v>7400</v>
      </c>
      <c r="D101" s="805" t="s">
        <v>3127</v>
      </c>
      <c r="E101" s="804">
        <v>7400</v>
      </c>
      <c r="F101" s="804">
        <v>0</v>
      </c>
    </row>
    <row r="102" spans="2:6">
      <c r="B102" s="804">
        <v>0</v>
      </c>
      <c r="C102" s="804">
        <v>85184908</v>
      </c>
      <c r="D102" s="805" t="s">
        <v>10</v>
      </c>
      <c r="E102" s="804">
        <v>85184908</v>
      </c>
      <c r="F102" s="804">
        <v>0</v>
      </c>
    </row>
    <row r="103" spans="2:6">
      <c r="B103" s="804">
        <v>0</v>
      </c>
      <c r="C103" s="804">
        <v>20897380</v>
      </c>
      <c r="D103" s="805" t="s">
        <v>3128</v>
      </c>
      <c r="E103" s="804">
        <v>20897380</v>
      </c>
      <c r="F103" s="804">
        <v>0</v>
      </c>
    </row>
    <row r="104" spans="2:6">
      <c r="B104" s="804">
        <v>0</v>
      </c>
      <c r="C104" s="804">
        <v>19630</v>
      </c>
      <c r="D104" s="805" t="s">
        <v>3129</v>
      </c>
      <c r="E104" s="804">
        <v>19630</v>
      </c>
      <c r="F104" s="804">
        <v>0</v>
      </c>
    </row>
    <row r="105" spans="2:6">
      <c r="B105" s="804">
        <v>0</v>
      </c>
      <c r="C105" s="804">
        <v>56497350</v>
      </c>
      <c r="D105" s="805" t="s">
        <v>2729</v>
      </c>
      <c r="E105" s="804">
        <v>56497350</v>
      </c>
      <c r="F105" s="804">
        <v>0</v>
      </c>
    </row>
    <row r="106" spans="2:6">
      <c r="B106" s="804">
        <v>0</v>
      </c>
      <c r="C106" s="804">
        <v>39754</v>
      </c>
      <c r="D106" s="805" t="s">
        <v>3130</v>
      </c>
      <c r="E106" s="804">
        <v>39754</v>
      </c>
      <c r="F106" s="804">
        <v>0</v>
      </c>
    </row>
    <row r="107" spans="2:6">
      <c r="B107" s="804">
        <v>0</v>
      </c>
      <c r="C107" s="804">
        <v>39754</v>
      </c>
      <c r="D107" s="805" t="s">
        <v>3131</v>
      </c>
      <c r="E107" s="804">
        <v>39754</v>
      </c>
      <c r="F107" s="804">
        <v>0</v>
      </c>
    </row>
    <row r="108" spans="2:6">
      <c r="B108" s="806">
        <v>10496282150</v>
      </c>
      <c r="C108" s="806">
        <v>48594049397</v>
      </c>
      <c r="D108" s="807" t="s">
        <v>3032</v>
      </c>
      <c r="E108" s="806">
        <v>48594049397</v>
      </c>
      <c r="F108" s="806">
        <v>10496282150</v>
      </c>
    </row>
  </sheetData>
  <mergeCells count="3">
    <mergeCell ref="B3:C3"/>
    <mergeCell ref="D3:D4"/>
    <mergeCell ref="E3:F3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3"/>
  <dimension ref="A1:M139"/>
  <sheetViews>
    <sheetView zoomScaleSheetLayoutView="85" workbookViewId="0">
      <selection activeCell="J14" sqref="J14"/>
    </sheetView>
  </sheetViews>
  <sheetFormatPr defaultRowHeight="15.75" customHeight="1"/>
  <cols>
    <col min="1" max="1" width="2.625" style="406" customWidth="1"/>
    <col min="2" max="2" width="19.125" style="406" customWidth="1"/>
    <col min="3" max="3" width="2" style="406" customWidth="1"/>
    <col min="4" max="4" width="16.125" style="406" customWidth="1"/>
    <col min="5" max="5" width="2" style="406" customWidth="1"/>
    <col min="6" max="6" width="16.125" style="406" customWidth="1"/>
    <col min="7" max="7" width="2" style="406" customWidth="1"/>
    <col min="8" max="8" width="16.125" style="406" customWidth="1"/>
    <col min="9" max="9" width="2" style="406" customWidth="1"/>
    <col min="10" max="10" width="16.125" style="406" customWidth="1"/>
    <col min="11" max="11" width="2" style="406" customWidth="1"/>
    <col min="12" max="12" width="16.125" style="406" customWidth="1"/>
    <col min="13" max="13" width="9" style="406"/>
    <col min="14" max="14" width="16.125" style="406" customWidth="1"/>
    <col min="15" max="16384" width="9" style="406"/>
  </cols>
  <sheetData>
    <row r="1" spans="1:13" ht="15.75" customHeight="1">
      <c r="A1" s="410" t="str">
        <f>기본사항!$C$2</f>
        <v>(재)한국여성재단</v>
      </c>
      <c r="B1" s="411"/>
      <c r="C1" s="410"/>
      <c r="D1" s="410"/>
      <c r="E1" s="1249" t="s">
        <v>112</v>
      </c>
      <c r="F1" s="1249"/>
      <c r="G1" s="1249" t="s">
        <v>241</v>
      </c>
      <c r="H1" s="1249"/>
      <c r="I1" s="1249" t="s">
        <v>242</v>
      </c>
      <c r="J1" s="1249"/>
    </row>
    <row r="2" spans="1:13" ht="15.75" customHeight="1">
      <c r="A2" s="410" t="s">
        <v>1118</v>
      </c>
      <c r="B2" s="411"/>
      <c r="C2" s="410"/>
      <c r="D2" s="410"/>
      <c r="E2" s="1250"/>
      <c r="F2" s="1250"/>
      <c r="G2" s="1252">
        <f>기본사항!$C$14</f>
        <v>40563</v>
      </c>
      <c r="H2" s="1252"/>
      <c r="I2" s="1251" t="str">
        <f>기본사항!$C$17</f>
        <v>Kbj</v>
      </c>
      <c r="J2" s="1251"/>
    </row>
    <row r="3" spans="1:13" ht="15.75" customHeight="1">
      <c r="A3" s="410" t="str">
        <f>기본사항!$C$9</f>
        <v>A : 12-31-2011</v>
      </c>
      <c r="B3" s="411"/>
      <c r="C3" s="410"/>
      <c r="D3" s="410"/>
      <c r="E3" s="1250"/>
      <c r="F3" s="1250"/>
      <c r="G3" s="1252"/>
      <c r="H3" s="1252"/>
      <c r="I3" s="1251"/>
      <c r="J3" s="1251"/>
    </row>
    <row r="4" spans="1:13" ht="15.75" customHeight="1">
      <c r="K4" s="428"/>
    </row>
    <row r="5" spans="1:13" ht="15.75" customHeight="1">
      <c r="K5" s="428"/>
    </row>
    <row r="6" spans="1:13" ht="15.75" customHeight="1">
      <c r="A6" s="412"/>
      <c r="B6" s="433" t="s">
        <v>1119</v>
      </c>
      <c r="C6" s="413"/>
      <c r="D6" s="434">
        <f>YEAR(기본사항!$C$12)</f>
        <v>2011</v>
      </c>
      <c r="E6" s="413"/>
      <c r="F6" s="434">
        <f>D6-1</f>
        <v>2010</v>
      </c>
      <c r="G6" s="413"/>
      <c r="H6" s="434">
        <f>F6-1</f>
        <v>2009</v>
      </c>
      <c r="I6" s="413"/>
      <c r="J6" s="434">
        <f>H6-1</f>
        <v>2008</v>
      </c>
      <c r="K6" s="429"/>
      <c r="L6" s="414"/>
      <c r="M6" s="407"/>
    </row>
    <row r="7" spans="1:13" ht="15.75" customHeight="1">
      <c r="A7" s="412"/>
      <c r="B7" s="415" t="s">
        <v>6</v>
      </c>
      <c r="C7" s="415"/>
      <c r="D7" s="415"/>
      <c r="E7" s="415"/>
      <c r="F7" s="415"/>
      <c r="G7" s="415"/>
      <c r="H7" s="415"/>
      <c r="I7" s="415"/>
      <c r="J7" s="415"/>
      <c r="K7" s="430"/>
      <c r="L7" s="416"/>
      <c r="M7" s="408"/>
    </row>
    <row r="8" spans="1:13" ht="15.75" customHeight="1">
      <c r="A8" s="412"/>
      <c r="B8" s="426" t="s">
        <v>1242</v>
      </c>
      <c r="C8" s="426"/>
      <c r="D8" s="417"/>
      <c r="E8" s="417"/>
      <c r="F8" s="417"/>
      <c r="G8" s="426"/>
      <c r="H8" s="417"/>
      <c r="I8" s="417"/>
      <c r="J8" s="417"/>
      <c r="K8" s="417"/>
      <c r="L8" s="416"/>
      <c r="M8" s="408"/>
    </row>
    <row r="9" spans="1:13" ht="15.75" customHeight="1">
      <c r="A9" s="412"/>
      <c r="B9" s="426" t="s">
        <v>1120</v>
      </c>
      <c r="C9" s="426"/>
      <c r="D9" s="417"/>
      <c r="E9" s="417"/>
      <c r="F9" s="417"/>
      <c r="G9" s="426"/>
      <c r="H9" s="417"/>
      <c r="I9" s="417"/>
      <c r="J9" s="417"/>
      <c r="K9" s="417"/>
      <c r="L9" s="416"/>
      <c r="M9" s="408"/>
    </row>
    <row r="10" spans="1:13" ht="15.75" customHeight="1">
      <c r="A10" s="412"/>
      <c r="B10" s="426" t="s">
        <v>1121</v>
      </c>
      <c r="C10" s="426"/>
      <c r="D10" s="417"/>
      <c r="E10" s="417"/>
      <c r="F10" s="417"/>
      <c r="G10" s="417"/>
      <c r="H10" s="417"/>
      <c r="I10" s="417"/>
      <c r="J10" s="417"/>
      <c r="K10" s="417"/>
      <c r="L10" s="416"/>
      <c r="M10" s="408"/>
    </row>
    <row r="11" spans="1:13" ht="15.75" customHeight="1">
      <c r="A11" s="412"/>
      <c r="B11" s="432" t="s">
        <v>1122</v>
      </c>
      <c r="C11" s="432"/>
      <c r="D11" s="417"/>
      <c r="E11" s="417"/>
      <c r="F11" s="417"/>
      <c r="G11" s="426"/>
      <c r="H11" s="417"/>
      <c r="I11" s="417"/>
      <c r="J11" s="417"/>
      <c r="K11" s="417"/>
      <c r="L11" s="416"/>
      <c r="M11" s="408"/>
    </row>
    <row r="12" spans="1:13" ht="15.75" customHeight="1">
      <c r="A12" s="412"/>
      <c r="B12" s="432" t="s">
        <v>1123</v>
      </c>
      <c r="C12" s="432"/>
      <c r="D12" s="417"/>
      <c r="E12" s="417"/>
      <c r="F12" s="417"/>
      <c r="G12" s="426"/>
      <c r="H12" s="417"/>
      <c r="I12" s="417"/>
      <c r="J12" s="417"/>
      <c r="K12" s="417"/>
      <c r="L12" s="416"/>
      <c r="M12" s="408"/>
    </row>
    <row r="13" spans="1:13" ht="15.75" customHeight="1">
      <c r="A13" s="412"/>
      <c r="B13" s="418" t="s">
        <v>1124</v>
      </c>
      <c r="C13" s="418"/>
      <c r="D13" s="417"/>
      <c r="E13" s="417"/>
      <c r="F13" s="417"/>
      <c r="G13" s="426"/>
      <c r="H13" s="417"/>
      <c r="I13" s="417"/>
      <c r="J13" s="417"/>
      <c r="K13" s="417"/>
      <c r="L13" s="416"/>
      <c r="M13" s="408"/>
    </row>
    <row r="14" spans="1:13" ht="15.75" customHeight="1">
      <c r="A14" s="412"/>
      <c r="B14" s="432" t="s">
        <v>1125</v>
      </c>
      <c r="C14" s="432"/>
      <c r="D14" s="417"/>
      <c r="E14" s="417"/>
      <c r="F14" s="417"/>
      <c r="G14" s="426"/>
      <c r="H14" s="417"/>
      <c r="I14" s="417"/>
      <c r="J14" s="417"/>
      <c r="K14" s="417"/>
      <c r="L14" s="416"/>
      <c r="M14" s="408"/>
    </row>
    <row r="15" spans="1:13" ht="15.75" customHeight="1">
      <c r="A15" s="412"/>
      <c r="B15" s="432" t="s">
        <v>1126</v>
      </c>
      <c r="C15" s="432"/>
      <c r="D15" s="417"/>
      <c r="E15" s="417"/>
      <c r="F15" s="417"/>
      <c r="G15" s="426"/>
      <c r="H15" s="417"/>
      <c r="I15" s="417"/>
      <c r="J15" s="417"/>
      <c r="K15" s="417"/>
      <c r="L15" s="416"/>
      <c r="M15" s="408"/>
    </row>
    <row r="16" spans="1:13" ht="15.75" customHeight="1">
      <c r="A16" s="412"/>
      <c r="B16" s="432" t="s">
        <v>1127</v>
      </c>
      <c r="C16" s="432"/>
      <c r="D16" s="417"/>
      <c r="E16" s="417"/>
      <c r="F16" s="417"/>
      <c r="G16" s="426"/>
      <c r="H16" s="417"/>
      <c r="I16" s="417"/>
      <c r="J16" s="417"/>
      <c r="K16" s="417"/>
      <c r="L16" s="416"/>
      <c r="M16" s="408"/>
    </row>
    <row r="17" spans="1:13" ht="15.75" customHeight="1">
      <c r="A17" s="412"/>
      <c r="B17" s="415" t="s">
        <v>1128</v>
      </c>
      <c r="C17" s="415"/>
      <c r="D17" s="415"/>
      <c r="E17" s="415"/>
      <c r="F17" s="415"/>
      <c r="G17" s="415"/>
      <c r="H17" s="415"/>
      <c r="I17" s="415"/>
      <c r="J17" s="415"/>
      <c r="K17" s="430"/>
      <c r="L17" s="416"/>
      <c r="M17" s="408"/>
    </row>
    <row r="18" spans="1:13" ht="15.75" customHeight="1">
      <c r="A18" s="412"/>
      <c r="B18" s="426" t="s">
        <v>1241</v>
      </c>
      <c r="C18" s="426"/>
      <c r="D18" s="417"/>
      <c r="E18" s="417"/>
      <c r="F18" s="417"/>
      <c r="G18" s="426"/>
      <c r="H18" s="417"/>
      <c r="I18" s="417"/>
      <c r="J18" s="417"/>
      <c r="K18" s="417"/>
      <c r="L18" s="416"/>
      <c r="M18" s="408"/>
    </row>
    <row r="19" spans="1:13" ht="15.75" customHeight="1">
      <c r="A19" s="412"/>
      <c r="B19" s="435" t="s">
        <v>1240</v>
      </c>
      <c r="C19" s="426"/>
      <c r="D19" s="436"/>
      <c r="E19" s="417"/>
      <c r="F19" s="436"/>
      <c r="G19" s="417"/>
      <c r="H19" s="436"/>
      <c r="I19" s="417"/>
      <c r="J19" s="436"/>
      <c r="K19" s="417"/>
      <c r="L19" s="416"/>
      <c r="M19" s="408"/>
    </row>
    <row r="20" spans="1:13" ht="15.75" customHeight="1">
      <c r="A20" s="412"/>
      <c r="B20" s="415" t="s">
        <v>1129</v>
      </c>
      <c r="C20" s="415"/>
      <c r="D20" s="415">
        <f>SUM(D7,D17)</f>
        <v>0</v>
      </c>
      <c r="E20" s="415"/>
      <c r="F20" s="415">
        <f>SUM(F7,F17)</f>
        <v>0</v>
      </c>
      <c r="G20" s="415"/>
      <c r="H20" s="415">
        <f>SUM(H7,H17)</f>
        <v>0</v>
      </c>
      <c r="I20" s="415"/>
      <c r="J20" s="415">
        <f>SUM(J7,J17)</f>
        <v>0</v>
      </c>
      <c r="K20" s="430"/>
      <c r="L20" s="416"/>
      <c r="M20" s="408"/>
    </row>
    <row r="21" spans="1:13" ht="15.75" customHeight="1">
      <c r="A21" s="412"/>
      <c r="B21" s="426"/>
      <c r="C21" s="426"/>
      <c r="D21" s="417"/>
      <c r="E21" s="417"/>
      <c r="F21" s="417"/>
      <c r="G21" s="426"/>
      <c r="H21" s="417"/>
      <c r="I21" s="417"/>
      <c r="J21" s="417"/>
      <c r="K21" s="417"/>
      <c r="L21" s="419"/>
      <c r="M21" s="409"/>
    </row>
    <row r="22" spans="1:13" ht="15.75" customHeight="1">
      <c r="A22" s="412"/>
      <c r="B22" s="415" t="s">
        <v>7</v>
      </c>
      <c r="C22" s="415"/>
      <c r="D22" s="415"/>
      <c r="E22" s="415"/>
      <c r="F22" s="415"/>
      <c r="G22" s="415"/>
      <c r="H22" s="415"/>
      <c r="I22" s="415"/>
      <c r="J22" s="415"/>
      <c r="K22" s="430"/>
      <c r="L22" s="416"/>
      <c r="M22" s="408"/>
    </row>
    <row r="23" spans="1:13" ht="15.75" customHeight="1">
      <c r="A23" s="412"/>
      <c r="B23" s="426" t="s">
        <v>1130</v>
      </c>
      <c r="C23" s="426"/>
      <c r="D23" s="417"/>
      <c r="E23" s="417"/>
      <c r="F23" s="417"/>
      <c r="G23" s="426"/>
      <c r="H23" s="417"/>
      <c r="I23" s="417"/>
      <c r="J23" s="417"/>
      <c r="K23" s="417"/>
      <c r="L23" s="416"/>
      <c r="M23" s="408"/>
    </row>
    <row r="24" spans="1:13" ht="15.75" customHeight="1">
      <c r="A24" s="412"/>
      <c r="B24" s="426" t="s">
        <v>1131</v>
      </c>
      <c r="C24" s="426"/>
      <c r="D24" s="417"/>
      <c r="E24" s="417"/>
      <c r="F24" s="417"/>
      <c r="G24" s="426"/>
      <c r="H24" s="417"/>
      <c r="I24" s="417"/>
      <c r="J24" s="417"/>
      <c r="K24" s="417"/>
      <c r="L24" s="416"/>
      <c r="M24" s="408"/>
    </row>
    <row r="25" spans="1:13" ht="15.75" customHeight="1">
      <c r="A25" s="412"/>
      <c r="B25" s="415" t="s">
        <v>1132</v>
      </c>
      <c r="C25" s="415"/>
      <c r="D25" s="415"/>
      <c r="E25" s="415"/>
      <c r="F25" s="415"/>
      <c r="G25" s="415"/>
      <c r="H25" s="415"/>
      <c r="I25" s="415"/>
      <c r="J25" s="415"/>
      <c r="K25" s="430"/>
      <c r="L25" s="416"/>
      <c r="M25" s="408"/>
    </row>
    <row r="26" spans="1:13" ht="15.75" customHeight="1">
      <c r="A26" s="412"/>
      <c r="B26" s="426" t="s">
        <v>1133</v>
      </c>
      <c r="C26" s="426"/>
      <c r="D26" s="417"/>
      <c r="E26" s="417"/>
      <c r="F26" s="417"/>
      <c r="G26" s="426"/>
      <c r="H26" s="417"/>
      <c r="I26" s="417"/>
      <c r="J26" s="417"/>
      <c r="K26" s="417"/>
      <c r="L26" s="416"/>
      <c r="M26" s="408"/>
    </row>
    <row r="27" spans="1:13" ht="15.75" customHeight="1">
      <c r="A27" s="412"/>
      <c r="B27" s="435" t="s">
        <v>1134</v>
      </c>
      <c r="C27" s="426"/>
      <c r="D27" s="436"/>
      <c r="E27" s="417"/>
      <c r="F27" s="436"/>
      <c r="G27" s="426"/>
      <c r="H27" s="436"/>
      <c r="I27" s="417"/>
      <c r="J27" s="436"/>
      <c r="K27" s="417"/>
      <c r="L27" s="416"/>
      <c r="M27" s="408"/>
    </row>
    <row r="28" spans="1:13" ht="15.75" customHeight="1">
      <c r="A28" s="412"/>
      <c r="B28" s="415" t="s">
        <v>1135</v>
      </c>
      <c r="C28" s="415"/>
      <c r="D28" s="415">
        <f>SUM(D25,D22)</f>
        <v>0</v>
      </c>
      <c r="E28" s="415"/>
      <c r="F28" s="415">
        <f>SUM(F25,F22)</f>
        <v>0</v>
      </c>
      <c r="G28" s="415"/>
      <c r="H28" s="415">
        <f>SUM(H25,H22)</f>
        <v>0</v>
      </c>
      <c r="I28" s="415"/>
      <c r="J28" s="415">
        <f>SUM(J25,J22)</f>
        <v>0</v>
      </c>
      <c r="K28" s="430"/>
      <c r="L28" s="416"/>
      <c r="M28" s="408"/>
    </row>
    <row r="29" spans="1:13" ht="15.75" customHeight="1">
      <c r="A29" s="412"/>
      <c r="B29" s="435" t="s">
        <v>1089</v>
      </c>
      <c r="C29" s="426"/>
      <c r="D29" s="436"/>
      <c r="E29" s="417"/>
      <c r="F29" s="436"/>
      <c r="G29" s="426"/>
      <c r="H29" s="436"/>
      <c r="I29" s="417"/>
      <c r="J29" s="436"/>
      <c r="K29" s="417"/>
      <c r="L29" s="416"/>
      <c r="M29" s="408"/>
    </row>
    <row r="30" spans="1:13" ht="15.75" customHeight="1">
      <c r="A30" s="412"/>
      <c r="B30" s="415" t="s">
        <v>1233</v>
      </c>
      <c r="C30" s="415"/>
      <c r="D30" s="415">
        <f>SUM(D29,D28)</f>
        <v>0</v>
      </c>
      <c r="E30" s="415"/>
      <c r="F30" s="415">
        <f>SUM(F29,F28)</f>
        <v>0</v>
      </c>
      <c r="G30" s="415"/>
      <c r="H30" s="415">
        <f>SUM(H29,H28)</f>
        <v>0</v>
      </c>
      <c r="I30" s="415"/>
      <c r="J30" s="415">
        <f>SUM(J29,J28)</f>
        <v>0</v>
      </c>
      <c r="K30" s="430"/>
      <c r="L30" s="416"/>
      <c r="M30" s="408"/>
    </row>
    <row r="31" spans="1:13" ht="15.75" customHeight="1">
      <c r="A31" s="412"/>
      <c r="B31" s="420"/>
      <c r="C31" s="420"/>
      <c r="D31" s="421" t="str">
        <f>IF(D20-(D28+D29)=0,"OK","error")</f>
        <v>OK</v>
      </c>
      <c r="E31" s="421"/>
      <c r="F31" s="421" t="str">
        <f>IF(F20-(F28+F29)=0,"OK","error")</f>
        <v>OK</v>
      </c>
      <c r="G31" s="421"/>
      <c r="H31" s="421" t="str">
        <f>IF(H20-(H28+H29)=0,"OK","error")</f>
        <v>OK</v>
      </c>
      <c r="I31" s="421"/>
      <c r="J31" s="421" t="str">
        <f>IF(J20-(J28+J29)=0,"OK","error")</f>
        <v>OK</v>
      </c>
      <c r="K31" s="421"/>
      <c r="L31" s="416"/>
      <c r="M31" s="408"/>
    </row>
    <row r="32" spans="1:13" ht="15.75" customHeight="1">
      <c r="A32" s="412"/>
      <c r="B32" s="426"/>
      <c r="C32" s="426"/>
      <c r="D32" s="417"/>
      <c r="E32" s="417"/>
      <c r="F32" s="417"/>
      <c r="G32" s="426"/>
      <c r="H32" s="417"/>
      <c r="I32" s="426"/>
      <c r="J32" s="417"/>
      <c r="K32" s="417"/>
      <c r="L32" s="419"/>
      <c r="M32" s="409"/>
    </row>
    <row r="33" spans="1:13" ht="15.75" customHeight="1">
      <c r="A33" s="412"/>
      <c r="B33" s="415" t="s">
        <v>1087</v>
      </c>
      <c r="C33" s="415"/>
      <c r="D33" s="415"/>
      <c r="E33" s="415"/>
      <c r="F33" s="415"/>
      <c r="G33" s="415"/>
      <c r="H33" s="415"/>
      <c r="I33" s="415"/>
      <c r="J33" s="415"/>
      <c r="K33" s="430"/>
      <c r="L33" s="416"/>
      <c r="M33" s="408"/>
    </row>
    <row r="34" spans="1:13" ht="15.75" customHeight="1">
      <c r="A34" s="412"/>
      <c r="B34" s="426" t="s">
        <v>1136</v>
      </c>
      <c r="C34" s="426"/>
      <c r="D34" s="417">
        <v>0</v>
      </c>
      <c r="E34" s="417"/>
      <c r="F34" s="417">
        <v>0</v>
      </c>
      <c r="G34" s="426"/>
      <c r="H34" s="417">
        <v>0</v>
      </c>
      <c r="I34" s="417"/>
      <c r="J34" s="417">
        <v>0</v>
      </c>
      <c r="K34" s="417"/>
      <c r="L34" s="416"/>
      <c r="M34" s="408"/>
    </row>
    <row r="35" spans="1:13" ht="15.75" customHeight="1">
      <c r="A35" s="412"/>
      <c r="B35" s="426" t="s">
        <v>1137</v>
      </c>
      <c r="C35" s="426"/>
      <c r="D35" s="417">
        <v>0</v>
      </c>
      <c r="E35" s="417"/>
      <c r="F35" s="417">
        <v>0</v>
      </c>
      <c r="G35" s="426"/>
      <c r="H35" s="417">
        <v>0</v>
      </c>
      <c r="I35" s="417"/>
      <c r="J35" s="417">
        <v>0</v>
      </c>
      <c r="K35" s="417"/>
      <c r="L35" s="416"/>
      <c r="M35" s="408"/>
    </row>
    <row r="36" spans="1:13" ht="15.75" customHeight="1">
      <c r="A36" s="412"/>
      <c r="B36" s="415" t="s">
        <v>1138</v>
      </c>
      <c r="C36" s="415"/>
      <c r="D36" s="415">
        <v>0</v>
      </c>
      <c r="E36" s="415"/>
      <c r="F36" s="415">
        <v>0</v>
      </c>
      <c r="G36" s="415"/>
      <c r="H36" s="415">
        <v>0</v>
      </c>
      <c r="I36" s="415"/>
      <c r="J36" s="415">
        <v>0</v>
      </c>
      <c r="K36" s="430"/>
      <c r="L36" s="416"/>
      <c r="M36" s="408"/>
    </row>
    <row r="37" spans="1:13" ht="15.75" customHeight="1">
      <c r="A37" s="412"/>
      <c r="B37" s="426" t="s">
        <v>1139</v>
      </c>
      <c r="C37" s="426"/>
      <c r="D37" s="417">
        <v>0</v>
      </c>
      <c r="E37" s="417"/>
      <c r="F37" s="417">
        <v>0</v>
      </c>
      <c r="G37" s="426"/>
      <c r="H37" s="417">
        <v>0</v>
      </c>
      <c r="I37" s="417"/>
      <c r="J37" s="417">
        <v>0</v>
      </c>
      <c r="K37" s="417"/>
      <c r="L37" s="416"/>
      <c r="M37" s="408"/>
    </row>
    <row r="38" spans="1:13" ht="15.75" customHeight="1">
      <c r="A38" s="412"/>
      <c r="B38" s="426" t="s">
        <v>1140</v>
      </c>
      <c r="C38" s="426"/>
      <c r="D38" s="417">
        <v>0</v>
      </c>
      <c r="E38" s="417"/>
      <c r="F38" s="417">
        <v>0</v>
      </c>
      <c r="G38" s="426"/>
      <c r="H38" s="417">
        <v>0</v>
      </c>
      <c r="I38" s="417"/>
      <c r="J38" s="417">
        <v>0</v>
      </c>
      <c r="K38" s="417"/>
      <c r="L38" s="416"/>
      <c r="M38" s="408"/>
    </row>
    <row r="39" spans="1:13" ht="15.75" customHeight="1">
      <c r="A39" s="412"/>
      <c r="B39" s="426" t="s">
        <v>1141</v>
      </c>
      <c r="C39" s="426"/>
      <c r="D39" s="417">
        <v>0</v>
      </c>
      <c r="E39" s="417"/>
      <c r="F39" s="417">
        <v>0</v>
      </c>
      <c r="G39" s="426"/>
      <c r="H39" s="417">
        <v>0</v>
      </c>
      <c r="I39" s="417"/>
      <c r="J39" s="417">
        <v>0</v>
      </c>
      <c r="K39" s="417"/>
      <c r="L39" s="416"/>
      <c r="M39" s="408"/>
    </row>
    <row r="40" spans="1:13" ht="15.75" customHeight="1">
      <c r="A40" s="412"/>
      <c r="B40" s="426" t="s">
        <v>1142</v>
      </c>
      <c r="C40" s="426"/>
      <c r="D40" s="417">
        <v>0</v>
      </c>
      <c r="E40" s="417"/>
      <c r="F40" s="417">
        <v>0</v>
      </c>
      <c r="G40" s="426"/>
      <c r="H40" s="417">
        <v>0</v>
      </c>
      <c r="I40" s="417"/>
      <c r="J40" s="417">
        <v>0</v>
      </c>
      <c r="K40" s="417"/>
      <c r="L40" s="416"/>
      <c r="M40" s="408"/>
    </row>
    <row r="41" spans="1:13" ht="15.75" customHeight="1">
      <c r="A41" s="412"/>
      <c r="B41" s="432" t="s">
        <v>1143</v>
      </c>
      <c r="C41" s="432"/>
      <c r="D41" s="417">
        <v>0</v>
      </c>
      <c r="E41" s="417"/>
      <c r="F41" s="417">
        <v>0</v>
      </c>
      <c r="G41" s="426"/>
      <c r="H41" s="417">
        <v>0</v>
      </c>
      <c r="I41" s="417"/>
      <c r="J41" s="417">
        <v>0</v>
      </c>
      <c r="K41" s="417"/>
      <c r="L41" s="416"/>
      <c r="M41" s="408"/>
    </row>
    <row r="42" spans="1:13" ht="15.75" customHeight="1">
      <c r="A42" s="412"/>
      <c r="B42" s="432" t="s">
        <v>1144</v>
      </c>
      <c r="C42" s="432"/>
      <c r="D42" s="417">
        <v>0</v>
      </c>
      <c r="E42" s="417"/>
      <c r="F42" s="417">
        <v>0</v>
      </c>
      <c r="G42" s="426"/>
      <c r="H42" s="417">
        <v>0</v>
      </c>
      <c r="I42" s="417"/>
      <c r="J42" s="417">
        <v>0</v>
      </c>
      <c r="K42" s="417"/>
      <c r="L42" s="416"/>
      <c r="M42" s="408"/>
    </row>
    <row r="43" spans="1:13" ht="15.75" customHeight="1">
      <c r="A43" s="412"/>
      <c r="B43" s="426" t="s">
        <v>1145</v>
      </c>
      <c r="C43" s="426"/>
      <c r="D43" s="417">
        <v>0</v>
      </c>
      <c r="E43" s="417"/>
      <c r="F43" s="417">
        <v>0</v>
      </c>
      <c r="G43" s="426"/>
      <c r="H43" s="417">
        <v>0</v>
      </c>
      <c r="I43" s="417"/>
      <c r="J43" s="417">
        <v>0</v>
      </c>
      <c r="K43" s="417"/>
      <c r="L43" s="416"/>
      <c r="M43" s="408"/>
    </row>
    <row r="44" spans="1:13" ht="15.75" customHeight="1">
      <c r="A44" s="412"/>
      <c r="B44" s="432" t="s">
        <v>1146</v>
      </c>
      <c r="C44" s="432"/>
      <c r="D44" s="417">
        <v>0</v>
      </c>
      <c r="E44" s="417"/>
      <c r="F44" s="417">
        <v>0</v>
      </c>
      <c r="G44" s="426"/>
      <c r="H44" s="417">
        <v>0</v>
      </c>
      <c r="I44" s="417"/>
      <c r="J44" s="417">
        <v>0</v>
      </c>
      <c r="K44" s="417"/>
      <c r="L44" s="416"/>
      <c r="M44" s="408"/>
    </row>
    <row r="45" spans="1:13" ht="15.75" customHeight="1">
      <c r="A45" s="412"/>
      <c r="B45" s="415" t="s">
        <v>1147</v>
      </c>
      <c r="C45" s="415"/>
      <c r="D45" s="415"/>
      <c r="E45" s="415"/>
      <c r="F45" s="415"/>
      <c r="G45" s="415"/>
      <c r="H45" s="415"/>
      <c r="I45" s="415"/>
      <c r="J45" s="415"/>
      <c r="K45" s="430"/>
      <c r="L45" s="416"/>
      <c r="M45" s="408"/>
    </row>
    <row r="46" spans="1:13" ht="15.75" customHeight="1">
      <c r="A46" s="412"/>
      <c r="B46" s="432" t="s">
        <v>1143</v>
      </c>
      <c r="C46" s="432"/>
      <c r="D46" s="417"/>
      <c r="E46" s="417"/>
      <c r="F46" s="417"/>
      <c r="G46" s="426"/>
      <c r="H46" s="417"/>
      <c r="I46" s="417"/>
      <c r="J46" s="417"/>
      <c r="K46" s="417"/>
      <c r="L46" s="416"/>
      <c r="M46" s="408"/>
    </row>
    <row r="47" spans="1:13" ht="15.75" customHeight="1">
      <c r="A47" s="412"/>
      <c r="B47" s="432" t="s">
        <v>1144</v>
      </c>
      <c r="C47" s="432"/>
      <c r="D47" s="417"/>
      <c r="E47" s="417"/>
      <c r="F47" s="417"/>
      <c r="G47" s="426"/>
      <c r="H47" s="417"/>
      <c r="I47" s="417"/>
      <c r="J47" s="417"/>
      <c r="K47" s="417"/>
      <c r="L47" s="416"/>
      <c r="M47" s="408"/>
    </row>
    <row r="48" spans="1:13" ht="15.75" customHeight="1">
      <c r="A48" s="412"/>
      <c r="B48" s="432" t="s">
        <v>1148</v>
      </c>
      <c r="C48" s="432"/>
      <c r="D48" s="417"/>
      <c r="E48" s="417"/>
      <c r="F48" s="417"/>
      <c r="G48" s="426"/>
      <c r="H48" s="417"/>
      <c r="I48" s="417"/>
      <c r="J48" s="417"/>
      <c r="K48" s="417"/>
      <c r="L48" s="416"/>
      <c r="M48" s="408"/>
    </row>
    <row r="49" spans="1:13" ht="15.75" customHeight="1">
      <c r="A49" s="412"/>
      <c r="B49" s="432" t="s">
        <v>1146</v>
      </c>
      <c r="C49" s="432"/>
      <c r="D49" s="417"/>
      <c r="E49" s="417"/>
      <c r="F49" s="417"/>
      <c r="G49" s="426"/>
      <c r="H49" s="417"/>
      <c r="I49" s="417"/>
      <c r="J49" s="417"/>
      <c r="K49" s="417"/>
      <c r="L49" s="416"/>
      <c r="M49" s="408"/>
    </row>
    <row r="50" spans="1:13" ht="15.75" customHeight="1">
      <c r="A50" s="412"/>
      <c r="B50" s="426" t="s">
        <v>1149</v>
      </c>
      <c r="C50" s="426"/>
      <c r="D50" s="417"/>
      <c r="E50" s="417"/>
      <c r="F50" s="417"/>
      <c r="G50" s="426"/>
      <c r="H50" s="417"/>
      <c r="I50" s="417"/>
      <c r="J50" s="417"/>
      <c r="K50" s="417"/>
      <c r="L50" s="416"/>
      <c r="M50" s="408"/>
    </row>
    <row r="51" spans="1:13" ht="15.75" customHeight="1">
      <c r="A51" s="412"/>
      <c r="B51" s="415" t="s">
        <v>1150</v>
      </c>
      <c r="C51" s="415"/>
      <c r="D51" s="415">
        <f>D33-D36-D45</f>
        <v>0</v>
      </c>
      <c r="E51" s="415"/>
      <c r="F51" s="415">
        <f>F33-F36-F45</f>
        <v>0</v>
      </c>
      <c r="G51" s="415"/>
      <c r="H51" s="415">
        <f>H33-H36-H45</f>
        <v>0</v>
      </c>
      <c r="I51" s="415"/>
      <c r="J51" s="415">
        <f>J33-J36-J45</f>
        <v>0</v>
      </c>
      <c r="K51" s="430"/>
      <c r="L51" s="416"/>
      <c r="M51" s="408"/>
    </row>
    <row r="52" spans="1:13" ht="15.75" customHeight="1">
      <c r="A52" s="412"/>
      <c r="B52" s="426" t="s">
        <v>1151</v>
      </c>
      <c r="C52" s="426"/>
      <c r="D52" s="417"/>
      <c r="E52" s="417"/>
      <c r="F52" s="417"/>
      <c r="G52" s="426"/>
      <c r="H52" s="417"/>
      <c r="I52" s="417"/>
      <c r="J52" s="417"/>
      <c r="K52" s="417"/>
      <c r="L52" s="416"/>
      <c r="M52" s="408"/>
    </row>
    <row r="53" spans="1:13" ht="15.75" customHeight="1">
      <c r="A53" s="412"/>
      <c r="B53" s="426" t="s">
        <v>8</v>
      </c>
      <c r="C53" s="426"/>
      <c r="D53" s="417"/>
      <c r="E53" s="417"/>
      <c r="F53" s="417"/>
      <c r="G53" s="426"/>
      <c r="H53" s="417"/>
      <c r="I53" s="417"/>
      <c r="J53" s="417"/>
      <c r="K53" s="417"/>
      <c r="L53" s="416"/>
      <c r="M53" s="408"/>
    </row>
    <row r="54" spans="1:13" ht="15.75" customHeight="1">
      <c r="A54" s="412"/>
      <c r="B54" s="415" t="s">
        <v>1152</v>
      </c>
      <c r="C54" s="415"/>
      <c r="D54" s="415"/>
      <c r="E54" s="415"/>
      <c r="F54" s="415"/>
      <c r="G54" s="415"/>
      <c r="H54" s="415"/>
      <c r="I54" s="415"/>
      <c r="J54" s="415"/>
      <c r="K54" s="430"/>
      <c r="L54" s="416"/>
      <c r="M54" s="408"/>
    </row>
    <row r="55" spans="1:13" ht="15.75" customHeight="1">
      <c r="A55" s="412"/>
      <c r="B55" s="426"/>
      <c r="C55" s="426"/>
      <c r="D55" s="417"/>
      <c r="E55" s="417"/>
      <c r="F55" s="417"/>
      <c r="G55" s="426"/>
      <c r="H55" s="417"/>
      <c r="I55" s="426"/>
      <c r="J55" s="417"/>
      <c r="K55" s="417"/>
      <c r="L55" s="419"/>
      <c r="M55" s="409"/>
    </row>
    <row r="56" spans="1:13" ht="15.75" customHeight="1">
      <c r="A56" s="412"/>
      <c r="B56" s="415" t="s">
        <v>1153</v>
      </c>
      <c r="C56" s="415"/>
      <c r="D56" s="415"/>
      <c r="E56" s="415"/>
      <c r="F56" s="415"/>
      <c r="G56" s="415"/>
      <c r="H56" s="415"/>
      <c r="I56" s="415"/>
      <c r="J56" s="415"/>
      <c r="K56" s="430"/>
      <c r="L56" s="416"/>
      <c r="M56" s="408"/>
    </row>
    <row r="57" spans="1:13" ht="15.75" customHeight="1">
      <c r="A57" s="412"/>
      <c r="B57" s="415" t="s">
        <v>1154</v>
      </c>
      <c r="C57" s="415"/>
      <c r="D57" s="415"/>
      <c r="E57" s="415"/>
      <c r="F57" s="415"/>
      <c r="G57" s="415"/>
      <c r="H57" s="415">
        <v>0</v>
      </c>
      <c r="I57" s="415"/>
      <c r="J57" s="415">
        <v>0</v>
      </c>
      <c r="K57" s="430"/>
      <c r="L57" s="416"/>
      <c r="M57" s="408"/>
    </row>
    <row r="58" spans="1:13" ht="15.75" customHeight="1">
      <c r="A58" s="412"/>
      <c r="B58" s="415" t="s">
        <v>1155</v>
      </c>
      <c r="C58" s="415"/>
      <c r="D58" s="415"/>
      <c r="E58" s="415"/>
      <c r="F58" s="415"/>
      <c r="G58" s="415"/>
      <c r="H58" s="415"/>
      <c r="I58" s="415"/>
      <c r="J58" s="415"/>
      <c r="K58" s="430"/>
      <c r="L58" s="416"/>
      <c r="M58" s="408"/>
    </row>
    <row r="59" spans="1:13" ht="15.75" customHeight="1">
      <c r="A59" s="412"/>
      <c r="B59" s="416"/>
      <c r="C59" s="416"/>
      <c r="D59" s="416"/>
      <c r="E59" s="416"/>
      <c r="F59" s="416"/>
      <c r="G59" s="416"/>
      <c r="H59" s="416"/>
      <c r="I59" s="416"/>
      <c r="J59" s="416"/>
      <c r="K59" s="431"/>
      <c r="L59" s="416"/>
      <c r="M59" s="408"/>
    </row>
    <row r="60" spans="1:13" ht="15.75" customHeight="1">
      <c r="A60" s="412"/>
      <c r="B60" s="416"/>
      <c r="C60" s="416"/>
      <c r="D60" s="416"/>
      <c r="E60" s="416"/>
      <c r="F60" s="416"/>
      <c r="G60" s="416"/>
      <c r="H60" s="416"/>
      <c r="I60" s="416"/>
      <c r="J60" s="416"/>
      <c r="K60" s="431"/>
      <c r="L60" s="416"/>
      <c r="M60" s="408"/>
    </row>
    <row r="61" spans="1:13" ht="15.75" customHeight="1">
      <c r="A61" s="412"/>
      <c r="B61" s="442" t="s">
        <v>1156</v>
      </c>
      <c r="C61" s="422"/>
      <c r="D61" s="423"/>
      <c r="E61" s="423"/>
      <c r="F61" s="423"/>
      <c r="G61" s="423"/>
      <c r="H61" s="423"/>
      <c r="I61" s="423"/>
      <c r="J61" s="423"/>
      <c r="K61" s="423"/>
      <c r="L61" s="423"/>
      <c r="M61" s="408"/>
    </row>
    <row r="62" spans="1:13" ht="15.75" customHeight="1">
      <c r="A62" s="412"/>
      <c r="B62" s="439" t="s">
        <v>9</v>
      </c>
      <c r="C62" s="420"/>
      <c r="D62" s="440" t="s">
        <v>1157</v>
      </c>
      <c r="E62" s="440"/>
      <c r="F62" s="440"/>
      <c r="G62" s="437"/>
      <c r="H62" s="439" t="s">
        <v>1158</v>
      </c>
      <c r="I62" s="420"/>
      <c r="J62" s="439" t="s">
        <v>1159</v>
      </c>
      <c r="K62" s="420"/>
      <c r="L62" s="439" t="s">
        <v>1159</v>
      </c>
      <c r="M62" s="408"/>
    </row>
    <row r="63" spans="1:13" ht="15.75" customHeight="1">
      <c r="A63" s="412"/>
      <c r="B63" s="427" t="s">
        <v>1160</v>
      </c>
      <c r="C63" s="427"/>
      <c r="D63" s="427" t="s">
        <v>1161</v>
      </c>
      <c r="E63" s="427"/>
      <c r="F63" s="425"/>
      <c r="G63" s="425"/>
      <c r="H63" s="438" t="e">
        <f>D$7/D$22</f>
        <v>#DIV/0!</v>
      </c>
      <c r="I63" s="438"/>
      <c r="J63" s="438" t="e">
        <f>F$7/F$22</f>
        <v>#DIV/0!</v>
      </c>
      <c r="K63" s="438"/>
      <c r="L63" s="438" t="e">
        <f>H$7/H$22</f>
        <v>#DIV/0!</v>
      </c>
      <c r="M63" s="408"/>
    </row>
    <row r="64" spans="1:13" ht="15.75" customHeight="1">
      <c r="A64" s="412"/>
      <c r="B64" s="427" t="s">
        <v>1162</v>
      </c>
      <c r="C64" s="427"/>
      <c r="D64" s="427" t="s">
        <v>1163</v>
      </c>
      <c r="E64" s="427"/>
      <c r="F64" s="425"/>
      <c r="G64" s="425"/>
      <c r="H64" s="438" t="e">
        <f>D$28/D$29</f>
        <v>#DIV/0!</v>
      </c>
      <c r="I64" s="438"/>
      <c r="J64" s="438" t="e">
        <f>F$28/F$29</f>
        <v>#DIV/0!</v>
      </c>
      <c r="K64" s="438"/>
      <c r="L64" s="438" t="e">
        <f>H$28/H$29</f>
        <v>#DIV/0!</v>
      </c>
      <c r="M64" s="408"/>
    </row>
    <row r="65" spans="1:13" ht="15.75" customHeight="1">
      <c r="A65" s="412"/>
      <c r="B65" s="427" t="s">
        <v>1164</v>
      </c>
      <c r="C65" s="427"/>
      <c r="D65" s="427" t="s">
        <v>1165</v>
      </c>
      <c r="E65" s="427"/>
      <c r="F65" s="425"/>
      <c r="G65" s="425"/>
      <c r="H65" s="438" t="e">
        <f>SUM(D$24,D$26)/D$20</f>
        <v>#DIV/0!</v>
      </c>
      <c r="I65" s="438"/>
      <c r="J65" s="438" t="e">
        <f>SUM(F$24,F$26)/F$20</f>
        <v>#DIV/0!</v>
      </c>
      <c r="K65" s="438"/>
      <c r="L65" s="438" t="e">
        <f>SUM(H$24,H$26)/H$20</f>
        <v>#DIV/0!</v>
      </c>
      <c r="M65" s="408"/>
    </row>
    <row r="66" spans="1:13" ht="15.75" customHeight="1">
      <c r="A66" s="412"/>
      <c r="B66" s="427" t="s">
        <v>1166</v>
      </c>
      <c r="C66" s="427"/>
      <c r="D66" s="427" t="s">
        <v>1167</v>
      </c>
      <c r="E66" s="427"/>
      <c r="F66" s="425"/>
      <c r="G66" s="425"/>
      <c r="H66" s="438" t="e">
        <f>D$53/D$51</f>
        <v>#DIV/0!</v>
      </c>
      <c r="I66" s="438"/>
      <c r="J66" s="438" t="e">
        <f>F$53/F$51</f>
        <v>#DIV/0!</v>
      </c>
      <c r="K66" s="438"/>
      <c r="L66" s="438" t="e">
        <f>H$53/H$51</f>
        <v>#DIV/0!</v>
      </c>
      <c r="M66" s="408"/>
    </row>
    <row r="67" spans="1:13" ht="15.75" customHeight="1">
      <c r="A67" s="412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08"/>
    </row>
    <row r="68" spans="1:13" ht="15.75" customHeight="1">
      <c r="A68" s="412"/>
      <c r="B68" s="441" t="s">
        <v>1168</v>
      </c>
      <c r="C68" s="424"/>
      <c r="D68" s="425"/>
      <c r="E68" s="425"/>
      <c r="F68" s="425"/>
      <c r="G68" s="425"/>
      <c r="H68" s="425"/>
      <c r="I68" s="425"/>
      <c r="J68" s="425"/>
      <c r="K68" s="425"/>
      <c r="L68" s="425"/>
      <c r="M68" s="408"/>
    </row>
    <row r="69" spans="1:13" ht="15.75" customHeight="1">
      <c r="A69" s="412"/>
      <c r="B69" s="439" t="s">
        <v>9</v>
      </c>
      <c r="C69" s="420"/>
      <c r="D69" s="440" t="s">
        <v>1157</v>
      </c>
      <c r="E69" s="440"/>
      <c r="F69" s="440"/>
      <c r="G69" s="437"/>
      <c r="H69" s="439" t="s">
        <v>1158</v>
      </c>
      <c r="I69" s="420"/>
      <c r="J69" s="439" t="s">
        <v>1159</v>
      </c>
      <c r="K69" s="420"/>
      <c r="L69" s="439" t="s">
        <v>1159</v>
      </c>
      <c r="M69" s="408"/>
    </row>
    <row r="70" spans="1:13" ht="15.75" customHeight="1">
      <c r="A70" s="412"/>
      <c r="B70" s="427" t="s">
        <v>1169</v>
      </c>
      <c r="C70" s="427"/>
      <c r="D70" s="427" t="s">
        <v>1170</v>
      </c>
      <c r="E70" s="427"/>
      <c r="F70" s="426"/>
      <c r="G70" s="426"/>
      <c r="H70" s="443" t="e">
        <f>D$51/D$33</f>
        <v>#DIV/0!</v>
      </c>
      <c r="I70" s="443"/>
      <c r="J70" s="443" t="e">
        <f>F$51/F$33</f>
        <v>#DIV/0!</v>
      </c>
      <c r="K70" s="443"/>
      <c r="L70" s="443" t="e">
        <f>H$51/H$33</f>
        <v>#DIV/0!</v>
      </c>
      <c r="M70" s="408"/>
    </row>
    <row r="71" spans="1:13" ht="15.75" customHeight="1">
      <c r="A71" s="412"/>
      <c r="B71" s="427" t="s">
        <v>1171</v>
      </c>
      <c r="C71" s="427"/>
      <c r="D71" s="427" t="s">
        <v>1172</v>
      </c>
      <c r="E71" s="427"/>
      <c r="F71" s="426"/>
      <c r="G71" s="426"/>
      <c r="H71" s="443" t="e">
        <f>D$54/D$33</f>
        <v>#DIV/0!</v>
      </c>
      <c r="I71" s="443"/>
      <c r="J71" s="443" t="e">
        <f>F$54/F$33</f>
        <v>#DIV/0!</v>
      </c>
      <c r="K71" s="443"/>
      <c r="L71" s="443" t="e">
        <f>H$54/H$33</f>
        <v>#DIV/0!</v>
      </c>
      <c r="M71" s="408"/>
    </row>
    <row r="72" spans="1:13" ht="15.75" customHeight="1">
      <c r="A72" s="412"/>
      <c r="B72" s="427" t="s">
        <v>1173</v>
      </c>
      <c r="C72" s="427"/>
      <c r="D72" s="426" t="s">
        <v>1174</v>
      </c>
      <c r="E72" s="426"/>
      <c r="F72" s="426"/>
      <c r="G72" s="426"/>
      <c r="H72" s="443" t="e">
        <f>D$54/((D$20+F$20)/2)</f>
        <v>#DIV/0!</v>
      </c>
      <c r="I72" s="443"/>
      <c r="J72" s="443" t="e">
        <f>F$54/((F$20+H$20)/2)</f>
        <v>#DIV/0!</v>
      </c>
      <c r="K72" s="443"/>
      <c r="L72" s="443" t="e">
        <f>H$54/((H$20+J$20)/2)</f>
        <v>#DIV/0!</v>
      </c>
      <c r="M72" s="408"/>
    </row>
    <row r="73" spans="1:13" ht="15.75" customHeight="1">
      <c r="A73" s="412"/>
      <c r="B73" s="427" t="s">
        <v>1175</v>
      </c>
      <c r="C73" s="427"/>
      <c r="D73" s="444" t="s">
        <v>1176</v>
      </c>
      <c r="E73" s="444"/>
      <c r="F73" s="426"/>
      <c r="G73" s="426"/>
      <c r="H73" s="443" t="e">
        <f>D$54/((D$29+F$29)/2)</f>
        <v>#DIV/0!</v>
      </c>
      <c r="I73" s="443"/>
      <c r="J73" s="443" t="e">
        <f>F$54/((F$29+H$29)/2)</f>
        <v>#DIV/0!</v>
      </c>
      <c r="K73" s="443"/>
      <c r="L73" s="443" t="e">
        <f>H$54/((H$29+J$29)/2)</f>
        <v>#DIV/0!</v>
      </c>
      <c r="M73" s="408"/>
    </row>
    <row r="74" spans="1:13" ht="15.75" customHeight="1">
      <c r="A74" s="412"/>
      <c r="B74" s="427" t="s">
        <v>1177</v>
      </c>
      <c r="C74" s="427"/>
      <c r="D74" s="426" t="s">
        <v>1178</v>
      </c>
      <c r="E74" s="426"/>
      <c r="F74" s="426"/>
      <c r="G74" s="426"/>
      <c r="H74" s="443" t="e">
        <f>D$56/((D$20+F$20)/2)</f>
        <v>#DIV/0!</v>
      </c>
      <c r="I74" s="443"/>
      <c r="J74" s="443" t="e">
        <f>F$56/((F$20+H$20)/2)</f>
        <v>#DIV/0!</v>
      </c>
      <c r="K74" s="443"/>
      <c r="L74" s="443" t="e">
        <f>H$56/((H$20+J$20)/2)</f>
        <v>#DIV/0!</v>
      </c>
      <c r="M74" s="408"/>
    </row>
    <row r="75" spans="1:13" ht="15.75" customHeight="1">
      <c r="A75" s="412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08"/>
    </row>
    <row r="76" spans="1:13" ht="15.75" customHeight="1">
      <c r="A76" s="412"/>
      <c r="B76" s="413" t="s">
        <v>1179</v>
      </c>
      <c r="C76" s="424"/>
      <c r="D76" s="426"/>
      <c r="E76" s="426"/>
      <c r="F76" s="426"/>
      <c r="G76" s="426"/>
      <c r="H76" s="426"/>
      <c r="I76" s="426"/>
      <c r="J76" s="426"/>
      <c r="K76" s="426"/>
      <c r="L76" s="426"/>
      <c r="M76" s="408"/>
    </row>
    <row r="77" spans="1:13" ht="15.75" customHeight="1">
      <c r="A77" s="412"/>
      <c r="B77" s="439" t="s">
        <v>9</v>
      </c>
      <c r="C77" s="420"/>
      <c r="D77" s="440" t="s">
        <v>1157</v>
      </c>
      <c r="E77" s="440"/>
      <c r="F77" s="440"/>
      <c r="G77" s="437"/>
      <c r="H77" s="439" t="s">
        <v>1158</v>
      </c>
      <c r="I77" s="420"/>
      <c r="J77" s="439" t="s">
        <v>1159</v>
      </c>
      <c r="K77" s="420"/>
      <c r="L77" s="439" t="s">
        <v>1180</v>
      </c>
      <c r="M77" s="408"/>
    </row>
    <row r="78" spans="1:13" ht="15.75" customHeight="1">
      <c r="A78" s="412"/>
      <c r="B78" s="427" t="s">
        <v>1181</v>
      </c>
      <c r="C78" s="427"/>
      <c r="D78" s="427" t="s">
        <v>1182</v>
      </c>
      <c r="E78" s="427"/>
      <c r="F78" s="426"/>
      <c r="G78" s="426"/>
      <c r="H78" s="443" t="e">
        <f>(D$33/F$33)*1-1</f>
        <v>#DIV/0!</v>
      </c>
      <c r="I78" s="443"/>
      <c r="J78" s="443" t="e">
        <f>(F$33/H$33)*1-1</f>
        <v>#DIV/0!</v>
      </c>
      <c r="K78" s="443"/>
      <c r="L78" s="443" t="e">
        <f>(H$33/J$33)*1-1</f>
        <v>#DIV/0!</v>
      </c>
      <c r="M78" s="408"/>
    </row>
    <row r="79" spans="1:13" ht="15.75" customHeight="1">
      <c r="A79" s="412"/>
      <c r="B79" s="427" t="s">
        <v>1183</v>
      </c>
      <c r="C79" s="427"/>
      <c r="D79" s="426" t="s">
        <v>1184</v>
      </c>
      <c r="E79" s="426"/>
      <c r="F79" s="426"/>
      <c r="G79" s="426"/>
      <c r="H79" s="445" t="e">
        <f>IF(F$51&lt;0,IF(D$51&lt;0,IF(D$51&gt;F$51,"적자감소","적자증가"),"흑자전환"),IF(D$51&lt;0,"적자전환",D$51/F$51-1))</f>
        <v>#DIV/0!</v>
      </c>
      <c r="I79" s="445"/>
      <c r="J79" s="445" t="e">
        <f>IF(H$51&lt;0,IF(F$51&lt;0,IF(F$51&gt;H$51,"적자감소","적자증가"),"흑자전환"),IF(F$51&lt;0,"적자전환",F$51/H$51-1))</f>
        <v>#DIV/0!</v>
      </c>
      <c r="K79" s="445"/>
      <c r="L79" s="445" t="e">
        <f>IF(J$51&lt;0,IF(H$51&lt;0,IF(H$51&gt;J$51,"적자감소","적자증가"),"흑자전환"),IF(H$51&lt;0,"적자전환",H$51/J$51-1))</f>
        <v>#DIV/0!</v>
      </c>
      <c r="M79" s="408"/>
    </row>
    <row r="80" spans="1:13" ht="15.75" customHeight="1">
      <c r="A80" s="412"/>
      <c r="B80" s="427" t="s">
        <v>1185</v>
      </c>
      <c r="C80" s="427"/>
      <c r="D80" s="426" t="s">
        <v>1186</v>
      </c>
      <c r="E80" s="426"/>
      <c r="F80" s="426"/>
      <c r="G80" s="426"/>
      <c r="H80" s="445" t="e">
        <f>IF(F$54&lt;0,IF(D$54&lt;0,IF(D$54&gt;F$54,"적자감소","적자증가"),"흑자전환"),IF(D$54&lt;0,"적자전환",D$54/F$54-1))</f>
        <v>#DIV/0!</v>
      </c>
      <c r="I80" s="445"/>
      <c r="J80" s="445" t="e">
        <f>IF(H$54&lt;0,IF(F$54&lt;0,IF(F$54&gt;H$54,"적자감소","적자증가"),"흑자전환"),IF(F$54&lt;0,"적자전환",F$54/H$54-1))</f>
        <v>#DIV/0!</v>
      </c>
      <c r="K80" s="445"/>
      <c r="L80" s="445" t="e">
        <f>IF(J$54&lt;0,IF(H$54&lt;0,IF(H$54&gt;J$54,"적자감소","적자증가"),"흑자전환"),IF(H$54&lt;0,"적자전환",H$54/J$54-1))</f>
        <v>#DIV/0!</v>
      </c>
      <c r="M80" s="408"/>
    </row>
    <row r="81" spans="1:13" ht="15.75" customHeight="1">
      <c r="A81" s="412"/>
      <c r="B81" s="427" t="s">
        <v>1187</v>
      </c>
      <c r="C81" s="427"/>
      <c r="D81" s="427" t="s">
        <v>1188</v>
      </c>
      <c r="E81" s="427"/>
      <c r="F81" s="426"/>
      <c r="G81" s="426"/>
      <c r="H81" s="443" t="e">
        <f>(D$20/F$20)*1-1</f>
        <v>#DIV/0!</v>
      </c>
      <c r="I81" s="443"/>
      <c r="J81" s="443" t="e">
        <f>(F$20/H$20)*1-1</f>
        <v>#DIV/0!</v>
      </c>
      <c r="K81" s="443"/>
      <c r="L81" s="443" t="e">
        <f>(H$20/J$20)*1-1</f>
        <v>#DIV/0!</v>
      </c>
      <c r="M81" s="408"/>
    </row>
    <row r="82" spans="1:13" ht="15.75" customHeight="1">
      <c r="A82" s="412"/>
      <c r="B82" s="427" t="s">
        <v>1189</v>
      </c>
      <c r="C82" s="427"/>
      <c r="D82" s="427" t="s">
        <v>1190</v>
      </c>
      <c r="E82" s="427"/>
      <c r="F82" s="426"/>
      <c r="G82" s="426"/>
      <c r="H82" s="443" t="e">
        <f>D$33/((D$20+F$20)/2)</f>
        <v>#DIV/0!</v>
      </c>
      <c r="I82" s="443"/>
      <c r="J82" s="443" t="e">
        <f>F$33/((F$20+H$20)/2)</f>
        <v>#DIV/0!</v>
      </c>
      <c r="K82" s="443"/>
      <c r="L82" s="443" t="e">
        <f>H$33/((H$20+J$20)/2)</f>
        <v>#DIV/0!</v>
      </c>
      <c r="M82" s="408"/>
    </row>
    <row r="83" spans="1:13" ht="15.75" customHeight="1">
      <c r="A83" s="412"/>
      <c r="B83" s="427"/>
      <c r="C83" s="427"/>
      <c r="D83" s="427"/>
      <c r="E83" s="427"/>
      <c r="F83" s="426"/>
      <c r="G83" s="426"/>
      <c r="H83" s="420"/>
      <c r="I83" s="420"/>
      <c r="J83" s="420"/>
      <c r="K83" s="420"/>
      <c r="L83" s="420"/>
      <c r="M83" s="408"/>
    </row>
    <row r="84" spans="1:13" ht="15.75" customHeight="1">
      <c r="A84" s="412"/>
      <c r="B84" s="441" t="s">
        <v>1234</v>
      </c>
      <c r="C84" s="424"/>
      <c r="D84" s="425"/>
      <c r="E84" s="425"/>
      <c r="F84" s="425"/>
      <c r="G84" s="425"/>
      <c r="H84" s="425"/>
      <c r="I84" s="425"/>
      <c r="J84" s="425"/>
      <c r="K84" s="425"/>
      <c r="L84" s="425"/>
      <c r="M84" s="408"/>
    </row>
    <row r="85" spans="1:13" ht="15.75" customHeight="1">
      <c r="A85" s="412"/>
      <c r="B85" s="439" t="s">
        <v>9</v>
      </c>
      <c r="C85" s="420"/>
      <c r="D85" s="440" t="s">
        <v>1157</v>
      </c>
      <c r="E85" s="440"/>
      <c r="F85" s="440"/>
      <c r="G85" s="437"/>
      <c r="H85" s="439" t="s">
        <v>1158</v>
      </c>
      <c r="I85" s="420"/>
      <c r="J85" s="439" t="s">
        <v>1159</v>
      </c>
      <c r="K85" s="420"/>
      <c r="L85" s="439" t="s">
        <v>1159</v>
      </c>
      <c r="M85" s="408"/>
    </row>
    <row r="86" spans="1:13" ht="15.75" customHeight="1">
      <c r="A86" s="412"/>
      <c r="B86" s="427" t="s">
        <v>1191</v>
      </c>
      <c r="C86" s="427"/>
      <c r="D86" s="426" t="s">
        <v>1192</v>
      </c>
      <c r="E86" s="426"/>
      <c r="F86" s="426"/>
      <c r="G86" s="426"/>
      <c r="H86" s="443" t="e">
        <f>D$50/D$33</f>
        <v>#DIV/0!</v>
      </c>
      <c r="I86" s="443"/>
      <c r="J86" s="443" t="e">
        <f>F$50/F$33</f>
        <v>#DIV/0!</v>
      </c>
      <c r="K86" s="443"/>
      <c r="L86" s="443" t="e">
        <f>H$50/H$33</f>
        <v>#DIV/0!</v>
      </c>
      <c r="M86" s="408"/>
    </row>
    <row r="87" spans="1:13" ht="15.75" customHeight="1">
      <c r="A87" s="412"/>
      <c r="B87" s="427" t="s">
        <v>1193</v>
      </c>
      <c r="C87" s="427"/>
      <c r="D87" s="426" t="s">
        <v>1194</v>
      </c>
      <c r="E87" s="426"/>
      <c r="F87" s="426"/>
      <c r="G87" s="426"/>
      <c r="H87" s="443" t="e">
        <f>D$33/D$35</f>
        <v>#DIV/0!</v>
      </c>
      <c r="I87" s="443"/>
      <c r="J87" s="443" t="e">
        <f>F$33/F$35</f>
        <v>#DIV/0!</v>
      </c>
      <c r="K87" s="443"/>
      <c r="L87" s="443" t="e">
        <f>H$33/H$35</f>
        <v>#DIV/0!</v>
      </c>
      <c r="M87" s="408"/>
    </row>
    <row r="88" spans="1:13" ht="15.75" customHeight="1">
      <c r="A88" s="412"/>
      <c r="B88" s="427" t="s">
        <v>1195</v>
      </c>
      <c r="C88" s="427"/>
      <c r="D88" s="426" t="s">
        <v>1196</v>
      </c>
      <c r="E88" s="426"/>
      <c r="F88" s="426"/>
      <c r="G88" s="426"/>
      <c r="H88" s="443" t="e">
        <f>D$34/D$33</f>
        <v>#DIV/0!</v>
      </c>
      <c r="I88" s="443"/>
      <c r="J88" s="443" t="e">
        <f>F$34/F$33</f>
        <v>#DIV/0!</v>
      </c>
      <c r="K88" s="443"/>
      <c r="L88" s="443" t="e">
        <f>H$34/H$33</f>
        <v>#DIV/0!</v>
      </c>
      <c r="M88" s="408"/>
    </row>
    <row r="89" spans="1:13" ht="15.75" customHeight="1">
      <c r="A89" s="412"/>
      <c r="B89" s="419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08"/>
    </row>
    <row r="90" spans="1:13" ht="15.75" customHeight="1">
      <c r="A90" s="412"/>
      <c r="B90" s="441" t="s">
        <v>1235</v>
      </c>
      <c r="C90" s="424"/>
      <c r="D90" s="425"/>
      <c r="E90" s="425"/>
      <c r="F90" s="425"/>
      <c r="G90" s="425"/>
      <c r="H90" s="425"/>
      <c r="I90" s="425"/>
      <c r="J90" s="425"/>
      <c r="K90" s="425"/>
      <c r="L90" s="425"/>
      <c r="M90" s="408"/>
    </row>
    <row r="91" spans="1:13" ht="15.75" customHeight="1">
      <c r="A91" s="412"/>
      <c r="B91" s="439" t="s">
        <v>9</v>
      </c>
      <c r="C91" s="420"/>
      <c r="D91" s="440" t="s">
        <v>1157</v>
      </c>
      <c r="E91" s="440"/>
      <c r="F91" s="440"/>
      <c r="G91" s="437"/>
      <c r="H91" s="439" t="s">
        <v>1158</v>
      </c>
      <c r="I91" s="420"/>
      <c r="J91" s="439" t="s">
        <v>1159</v>
      </c>
      <c r="K91" s="420"/>
      <c r="L91" s="439" t="s">
        <v>1159</v>
      </c>
      <c r="M91" s="408"/>
    </row>
    <row r="92" spans="1:13" ht="15.75" customHeight="1">
      <c r="A92" s="412"/>
      <c r="B92" s="427" t="s">
        <v>1197</v>
      </c>
      <c r="C92" s="427"/>
      <c r="D92" s="437"/>
      <c r="E92" s="437"/>
      <c r="F92" s="437"/>
      <c r="G92" s="437"/>
      <c r="H92" s="443" t="e">
        <f>D$8/F$8*1-1</f>
        <v>#DIV/0!</v>
      </c>
      <c r="I92" s="443"/>
      <c r="J92" s="443" t="e">
        <f>F$8/H$8*1-1</f>
        <v>#DIV/0!</v>
      </c>
      <c r="K92" s="443"/>
      <c r="L92" s="443" t="e">
        <f>H$8/J$8*1-1</f>
        <v>#DIV/0!</v>
      </c>
      <c r="M92" s="408"/>
    </row>
    <row r="93" spans="1:13" ht="15.75" customHeight="1">
      <c r="A93" s="412"/>
      <c r="B93" s="427" t="s">
        <v>1198</v>
      </c>
      <c r="C93" s="427"/>
      <c r="D93" s="444" t="s">
        <v>1199</v>
      </c>
      <c r="E93" s="444"/>
      <c r="F93" s="426"/>
      <c r="G93" s="426"/>
      <c r="H93" s="443" t="e">
        <f>((D$8+F$8)/2)*365/D$33</f>
        <v>#DIV/0!</v>
      </c>
      <c r="I93" s="443"/>
      <c r="J93" s="443" t="e">
        <f>((F$8+H$8)/2)*365/F$33</f>
        <v>#DIV/0!</v>
      </c>
      <c r="K93" s="443"/>
      <c r="L93" s="443" t="e">
        <f>((H$8+J$8)/2)*365/H$33</f>
        <v>#DIV/0!</v>
      </c>
      <c r="M93" s="408"/>
    </row>
    <row r="94" spans="1:13" ht="15.75" customHeight="1">
      <c r="A94" s="412"/>
      <c r="B94" s="427" t="s">
        <v>1200</v>
      </c>
      <c r="C94" s="427"/>
      <c r="D94" s="444" t="s">
        <v>1201</v>
      </c>
      <c r="E94" s="444"/>
      <c r="F94" s="426"/>
      <c r="G94" s="426"/>
      <c r="H94" s="443" t="e">
        <f>D$9/D$8</f>
        <v>#DIV/0!</v>
      </c>
      <c r="I94" s="443"/>
      <c r="J94" s="443" t="e">
        <f>F$9/F$8</f>
        <v>#DIV/0!</v>
      </c>
      <c r="K94" s="443"/>
      <c r="L94" s="443" t="e">
        <f>H$9/H$8</f>
        <v>#DIV/0!</v>
      </c>
      <c r="M94" s="408"/>
    </row>
    <row r="95" spans="1:13" ht="15.75" customHeight="1">
      <c r="A95" s="412"/>
      <c r="B95" s="419"/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s="408"/>
    </row>
    <row r="96" spans="1:13" ht="15.75" customHeight="1">
      <c r="A96" s="412"/>
      <c r="B96" s="441" t="s">
        <v>1236</v>
      </c>
      <c r="C96" s="424"/>
      <c r="D96" s="425"/>
      <c r="E96" s="425"/>
      <c r="F96" s="425"/>
      <c r="G96" s="425"/>
      <c r="H96" s="425"/>
      <c r="I96" s="425"/>
      <c r="J96" s="425"/>
      <c r="K96" s="425"/>
      <c r="L96" s="425"/>
      <c r="M96" s="408"/>
    </row>
    <row r="97" spans="1:13" ht="15.75" customHeight="1">
      <c r="A97" s="412"/>
      <c r="B97" s="439" t="s">
        <v>9</v>
      </c>
      <c r="C97" s="420"/>
      <c r="D97" s="440" t="s">
        <v>1157</v>
      </c>
      <c r="E97" s="440"/>
      <c r="F97" s="440"/>
      <c r="G97" s="437"/>
      <c r="H97" s="439" t="s">
        <v>1158</v>
      </c>
      <c r="I97" s="420"/>
      <c r="J97" s="439" t="s">
        <v>1159</v>
      </c>
      <c r="K97" s="420"/>
      <c r="L97" s="439" t="s">
        <v>1159</v>
      </c>
      <c r="M97" s="408"/>
    </row>
    <row r="98" spans="1:13" ht="15.75" customHeight="1">
      <c r="A98" s="412"/>
      <c r="B98" s="427" t="s">
        <v>1202</v>
      </c>
      <c r="C98" s="427"/>
      <c r="D98" s="444"/>
      <c r="E98" s="444"/>
      <c r="F98" s="426"/>
      <c r="G98" s="426"/>
      <c r="H98" s="443" t="e">
        <f>D$23/F$23*1-1</f>
        <v>#DIV/0!</v>
      </c>
      <c r="I98" s="443"/>
      <c r="J98" s="443" t="e">
        <f>F$23/H$23*1-1</f>
        <v>#DIV/0!</v>
      </c>
      <c r="K98" s="443"/>
      <c r="L98" s="443" t="e">
        <f>H$23/J$23*1-1</f>
        <v>#DIV/0!</v>
      </c>
      <c r="M98" s="408"/>
    </row>
    <row r="99" spans="1:13" ht="15.75" customHeight="1">
      <c r="A99" s="412"/>
      <c r="B99" s="427" t="s">
        <v>1203</v>
      </c>
      <c r="C99" s="427"/>
      <c r="D99" s="444" t="s">
        <v>1204</v>
      </c>
      <c r="E99" s="444"/>
      <c r="F99" s="426"/>
      <c r="G99" s="426"/>
      <c r="H99" s="443" t="e">
        <f>((D$23+F$23)/2)*365/D$39</f>
        <v>#DIV/0!</v>
      </c>
      <c r="I99" s="443"/>
      <c r="J99" s="443" t="e">
        <f>((F$23+H$23)/2)*365/F$39</f>
        <v>#DIV/0!</v>
      </c>
      <c r="K99" s="443"/>
      <c r="L99" s="443" t="e">
        <f>((H$23+J$23)/2)*365/H$39</f>
        <v>#DIV/0!</v>
      </c>
      <c r="M99" s="408"/>
    </row>
    <row r="100" spans="1:13" ht="15.75" customHeight="1">
      <c r="A100" s="412"/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08"/>
    </row>
    <row r="101" spans="1:13" ht="15.75" customHeight="1">
      <c r="A101" s="412"/>
      <c r="B101" s="441" t="s">
        <v>1237</v>
      </c>
      <c r="C101" s="424"/>
      <c r="D101" s="425"/>
      <c r="E101" s="425"/>
      <c r="F101" s="425"/>
      <c r="G101" s="425"/>
      <c r="H101" s="425"/>
      <c r="I101" s="425"/>
      <c r="J101" s="425"/>
      <c r="K101" s="425"/>
      <c r="L101" s="425"/>
      <c r="M101" s="408"/>
    </row>
    <row r="102" spans="1:13" ht="15.75" customHeight="1">
      <c r="A102" s="412"/>
      <c r="B102" s="439" t="s">
        <v>9</v>
      </c>
      <c r="C102" s="420"/>
      <c r="D102" s="440" t="s">
        <v>1157</v>
      </c>
      <c r="E102" s="440"/>
      <c r="F102" s="440"/>
      <c r="G102" s="437"/>
      <c r="H102" s="439" t="s">
        <v>1158</v>
      </c>
      <c r="I102" s="420"/>
      <c r="J102" s="439" t="s">
        <v>1159</v>
      </c>
      <c r="K102" s="420"/>
      <c r="L102" s="439" t="s">
        <v>1159</v>
      </c>
      <c r="M102" s="408"/>
    </row>
    <row r="103" spans="1:13" ht="15.75" customHeight="1">
      <c r="A103" s="412"/>
      <c r="B103" s="427" t="s">
        <v>1205</v>
      </c>
      <c r="C103" s="427"/>
      <c r="D103" s="444"/>
      <c r="E103" s="444"/>
      <c r="F103" s="426"/>
      <c r="G103" s="426"/>
      <c r="H103" s="443"/>
      <c r="I103" s="443"/>
      <c r="J103" s="443"/>
      <c r="K103" s="443"/>
      <c r="L103" s="443"/>
      <c r="M103" s="408"/>
    </row>
    <row r="104" spans="1:13" ht="15.75" customHeight="1">
      <c r="A104" s="412"/>
      <c r="B104" s="426" t="s">
        <v>1206</v>
      </c>
      <c r="C104" s="426"/>
      <c r="D104" s="444"/>
      <c r="E104" s="444"/>
      <c r="F104" s="426"/>
      <c r="G104" s="426"/>
      <c r="H104" s="443"/>
      <c r="I104" s="443"/>
      <c r="J104" s="443"/>
      <c r="K104" s="443"/>
      <c r="L104" s="443"/>
      <c r="M104" s="408"/>
    </row>
    <row r="105" spans="1:13" ht="15.75" customHeight="1">
      <c r="A105" s="412"/>
      <c r="B105" s="432" t="s">
        <v>1207</v>
      </c>
      <c r="C105" s="432"/>
      <c r="D105" s="444"/>
      <c r="E105" s="444"/>
      <c r="F105" s="426"/>
      <c r="G105" s="426"/>
      <c r="H105" s="443" t="e">
        <f>D$11/D$10</f>
        <v>#DIV/0!</v>
      </c>
      <c r="I105" s="443"/>
      <c r="J105" s="443" t="e">
        <f>F$11/F$10</f>
        <v>#DIV/0!</v>
      </c>
      <c r="K105" s="443"/>
      <c r="L105" s="443" t="e">
        <f>H$11/H$10</f>
        <v>#DIV/0!</v>
      </c>
      <c r="M105" s="408"/>
    </row>
    <row r="106" spans="1:13" ht="15.75" customHeight="1">
      <c r="A106" s="412"/>
      <c r="B106" s="432" t="s">
        <v>1208</v>
      </c>
      <c r="C106" s="432"/>
      <c r="D106" s="444"/>
      <c r="E106" s="444"/>
      <c r="F106" s="426"/>
      <c r="G106" s="426"/>
      <c r="H106" s="443" t="e">
        <f>D$12/D$10</f>
        <v>#DIV/0!</v>
      </c>
      <c r="I106" s="443"/>
      <c r="J106" s="443" t="e">
        <f>F$12/F$10</f>
        <v>#DIV/0!</v>
      </c>
      <c r="K106" s="443"/>
      <c r="L106" s="443" t="e">
        <f>H$12/H$10</f>
        <v>#DIV/0!</v>
      </c>
      <c r="M106" s="408"/>
    </row>
    <row r="107" spans="1:13" ht="15.75" customHeight="1">
      <c r="A107" s="412"/>
      <c r="B107" s="418" t="s">
        <v>1209</v>
      </c>
      <c r="C107" s="418"/>
      <c r="D107" s="444"/>
      <c r="E107" s="444"/>
      <c r="F107" s="426"/>
      <c r="G107" s="426"/>
      <c r="H107" s="443" t="e">
        <f>D$13/D$10</f>
        <v>#DIV/0!</v>
      </c>
      <c r="I107" s="443"/>
      <c r="J107" s="443" t="e">
        <f>F$13/F$10</f>
        <v>#DIV/0!</v>
      </c>
      <c r="K107" s="443"/>
      <c r="L107" s="443" t="e">
        <f>H$13/H$10</f>
        <v>#DIV/0!</v>
      </c>
      <c r="M107" s="408"/>
    </row>
    <row r="108" spans="1:13" ht="15.75" customHeight="1">
      <c r="A108" s="412"/>
      <c r="B108" s="432" t="s">
        <v>1210</v>
      </c>
      <c r="C108" s="432"/>
      <c r="D108" s="444"/>
      <c r="E108" s="444"/>
      <c r="F108" s="426"/>
      <c r="G108" s="426"/>
      <c r="H108" s="443" t="e">
        <f>D$14/D$10</f>
        <v>#DIV/0!</v>
      </c>
      <c r="I108" s="443"/>
      <c r="J108" s="443" t="e">
        <f>F$14/F$10</f>
        <v>#DIV/0!</v>
      </c>
      <c r="K108" s="443"/>
      <c r="L108" s="443" t="e">
        <f>H$14/H$10</f>
        <v>#DIV/0!</v>
      </c>
      <c r="M108" s="408"/>
    </row>
    <row r="109" spans="1:13" ht="15.75" customHeight="1">
      <c r="A109" s="412"/>
      <c r="B109" s="432" t="s">
        <v>1211</v>
      </c>
      <c r="C109" s="432"/>
      <c r="D109" s="444"/>
      <c r="E109" s="444"/>
      <c r="F109" s="426"/>
      <c r="G109" s="426"/>
      <c r="H109" s="443" t="e">
        <f>D$15/D$10</f>
        <v>#DIV/0!</v>
      </c>
      <c r="I109" s="443"/>
      <c r="J109" s="443" t="e">
        <f>F$15/F$10</f>
        <v>#DIV/0!</v>
      </c>
      <c r="K109" s="443"/>
      <c r="L109" s="443" t="e">
        <f>H$15/H$10</f>
        <v>#DIV/0!</v>
      </c>
      <c r="M109" s="408"/>
    </row>
    <row r="110" spans="1:13" ht="15.75" customHeight="1">
      <c r="A110" s="412"/>
      <c r="B110" s="432" t="s">
        <v>1212</v>
      </c>
      <c r="C110" s="432"/>
      <c r="D110" s="444"/>
      <c r="E110" s="444"/>
      <c r="F110" s="426"/>
      <c r="G110" s="426"/>
      <c r="H110" s="443" t="e">
        <f>D$16/D$10</f>
        <v>#DIV/0!</v>
      </c>
      <c r="I110" s="443"/>
      <c r="J110" s="443" t="e">
        <f>F$16/F$10</f>
        <v>#DIV/0!</v>
      </c>
      <c r="K110" s="443"/>
      <c r="L110" s="443" t="e">
        <f>H$16/H$10</f>
        <v>#DIV/0!</v>
      </c>
      <c r="M110" s="408"/>
    </row>
    <row r="111" spans="1:13" ht="15.75" customHeight="1">
      <c r="A111" s="412"/>
      <c r="B111" s="427" t="s">
        <v>1213</v>
      </c>
      <c r="C111" s="427"/>
      <c r="D111" s="444" t="s">
        <v>1214</v>
      </c>
      <c r="E111" s="444"/>
      <c r="F111" s="426"/>
      <c r="G111" s="426"/>
      <c r="H111" s="443" t="e">
        <f>D$33/((D$11+F$11)/2)</f>
        <v>#DIV/0!</v>
      </c>
      <c r="I111" s="443"/>
      <c r="J111" s="443" t="e">
        <f>F$33/((F$11+H$11)/2)</f>
        <v>#DIV/0!</v>
      </c>
      <c r="K111" s="443"/>
      <c r="L111" s="443" t="e">
        <f>H$33/((H$11+J$11)/2)</f>
        <v>#DIV/0!</v>
      </c>
      <c r="M111" s="408"/>
    </row>
    <row r="112" spans="1:13" ht="15.75" customHeight="1">
      <c r="A112" s="412"/>
      <c r="B112" s="427" t="s">
        <v>1215</v>
      </c>
      <c r="C112" s="427"/>
      <c r="D112" s="444" t="s">
        <v>1216</v>
      </c>
      <c r="E112" s="444"/>
      <c r="F112" s="426"/>
      <c r="G112" s="426"/>
      <c r="H112" s="443" t="e">
        <f>D$36/D$33</f>
        <v>#DIV/0!</v>
      </c>
      <c r="I112" s="443"/>
      <c r="J112" s="443" t="e">
        <f>F$36/F$33</f>
        <v>#DIV/0!</v>
      </c>
      <c r="K112" s="443"/>
      <c r="L112" s="443" t="e">
        <f>H$36/H$33</f>
        <v>#DIV/0!</v>
      </c>
      <c r="M112" s="408"/>
    </row>
    <row r="113" spans="1:13" ht="15.75" customHeight="1">
      <c r="A113" s="412"/>
      <c r="B113" s="427" t="s">
        <v>1217</v>
      </c>
      <c r="C113" s="427"/>
      <c r="D113" s="444"/>
      <c r="E113" s="444"/>
      <c r="F113" s="426"/>
      <c r="G113" s="426"/>
      <c r="H113" s="443"/>
      <c r="I113" s="443"/>
      <c r="J113" s="443"/>
      <c r="K113" s="443"/>
      <c r="L113" s="443"/>
      <c r="M113" s="408"/>
    </row>
    <row r="114" spans="1:13" ht="15.75" customHeight="1">
      <c r="A114" s="412"/>
      <c r="B114" s="427" t="s">
        <v>1218</v>
      </c>
      <c r="C114" s="427"/>
      <c r="D114" s="444" t="s">
        <v>1219</v>
      </c>
      <c r="E114" s="444"/>
      <c r="F114" s="426"/>
      <c r="G114" s="426"/>
      <c r="H114" s="443" t="e">
        <f>D$38/D$37</f>
        <v>#DIV/0!</v>
      </c>
      <c r="I114" s="443"/>
      <c r="J114" s="443" t="e">
        <f>F$38/F$37</f>
        <v>#DIV/0!</v>
      </c>
      <c r="K114" s="443"/>
      <c r="L114" s="443" t="e">
        <f>H$38/H$37</f>
        <v>#DIV/0!</v>
      </c>
      <c r="M114" s="408"/>
    </row>
    <row r="115" spans="1:13" ht="15.75" customHeight="1">
      <c r="A115" s="412"/>
      <c r="B115" s="427" t="s">
        <v>1220</v>
      </c>
      <c r="C115" s="427"/>
      <c r="D115" s="444" t="s">
        <v>1221</v>
      </c>
      <c r="E115" s="444"/>
      <c r="F115" s="426"/>
      <c r="G115" s="426"/>
      <c r="H115" s="443" t="e">
        <f>D$40/D$37</f>
        <v>#DIV/0!</v>
      </c>
      <c r="I115" s="443"/>
      <c r="J115" s="443" t="e">
        <f>F$40/F$37</f>
        <v>#DIV/0!</v>
      </c>
      <c r="K115" s="443"/>
      <c r="L115" s="443" t="e">
        <f>H$40/H$37</f>
        <v>#DIV/0!</v>
      </c>
      <c r="M115" s="408"/>
    </row>
    <row r="116" spans="1:13" ht="15.75" customHeight="1">
      <c r="A116" s="412"/>
      <c r="B116" s="427" t="s">
        <v>1222</v>
      </c>
      <c r="C116" s="427"/>
      <c r="D116" s="444" t="s">
        <v>1223</v>
      </c>
      <c r="E116" s="444"/>
      <c r="F116" s="426"/>
      <c r="G116" s="426"/>
      <c r="H116" s="443" t="e">
        <f>D$43/D$37</f>
        <v>#DIV/0!</v>
      </c>
      <c r="I116" s="443"/>
      <c r="J116" s="443" t="e">
        <f>F$43/F$37</f>
        <v>#DIV/0!</v>
      </c>
      <c r="K116" s="443"/>
      <c r="L116" s="443" t="e">
        <f>H$43/H$37</f>
        <v>#DIV/0!</v>
      </c>
      <c r="M116" s="408"/>
    </row>
    <row r="117" spans="1:13" ht="15.75" customHeight="1">
      <c r="A117" s="412"/>
      <c r="B117" s="427" t="s">
        <v>1224</v>
      </c>
      <c r="C117" s="427"/>
      <c r="D117" s="444"/>
      <c r="E117" s="444"/>
      <c r="F117" s="426"/>
      <c r="G117" s="426"/>
      <c r="H117" s="443"/>
      <c r="I117" s="443"/>
      <c r="J117" s="443"/>
      <c r="K117" s="443"/>
      <c r="L117" s="443"/>
      <c r="M117" s="408"/>
    </row>
    <row r="118" spans="1:13" ht="15.75" customHeight="1">
      <c r="A118" s="412"/>
      <c r="B118" s="419"/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08"/>
    </row>
    <row r="119" spans="1:13" ht="15.75" customHeight="1">
      <c r="A119" s="412"/>
      <c r="B119" s="441" t="s">
        <v>1238</v>
      </c>
      <c r="C119" s="424"/>
      <c r="D119" s="425"/>
      <c r="E119" s="425"/>
      <c r="F119" s="425"/>
      <c r="G119" s="425"/>
      <c r="H119" s="425"/>
      <c r="I119" s="425"/>
      <c r="J119" s="425"/>
      <c r="K119" s="425"/>
      <c r="L119" s="425"/>
      <c r="M119" s="408"/>
    </row>
    <row r="120" spans="1:13" ht="15.75" customHeight="1">
      <c r="A120" s="412"/>
      <c r="B120" s="439" t="s">
        <v>9</v>
      </c>
      <c r="C120" s="420"/>
      <c r="D120" s="440" t="s">
        <v>1157</v>
      </c>
      <c r="E120" s="440"/>
      <c r="F120" s="440"/>
      <c r="G120" s="437"/>
      <c r="H120" s="439" t="s">
        <v>1158</v>
      </c>
      <c r="I120" s="420"/>
      <c r="J120" s="439" t="s">
        <v>1159</v>
      </c>
      <c r="K120" s="420"/>
      <c r="L120" s="439" t="s">
        <v>1159</v>
      </c>
      <c r="M120" s="408"/>
    </row>
    <row r="121" spans="1:13" ht="15.75" customHeight="1">
      <c r="A121" s="412"/>
      <c r="B121" s="427" t="s">
        <v>1225</v>
      </c>
      <c r="C121" s="427"/>
      <c r="D121" s="444"/>
      <c r="E121" s="444"/>
      <c r="F121" s="426"/>
      <c r="G121" s="426"/>
      <c r="H121" s="443" t="e">
        <f>D$18/F$18-1</f>
        <v>#DIV/0!</v>
      </c>
      <c r="I121" s="443"/>
      <c r="J121" s="443" t="e">
        <f>F$18/H$18-1</f>
        <v>#DIV/0!</v>
      </c>
      <c r="K121" s="443"/>
      <c r="L121" s="443" t="e">
        <f>H$18/J$18-1</f>
        <v>#DIV/0!</v>
      </c>
      <c r="M121" s="408"/>
    </row>
    <row r="122" spans="1:13" ht="15.75" customHeight="1">
      <c r="A122" s="412"/>
      <c r="B122" s="427" t="s">
        <v>1226</v>
      </c>
      <c r="C122" s="427"/>
      <c r="D122" s="444" t="s">
        <v>1227</v>
      </c>
      <c r="E122" s="444"/>
      <c r="F122" s="426"/>
      <c r="G122" s="426"/>
      <c r="H122" s="443" t="e">
        <f>(D$44+D$49)/((D$19+F$19)/2)</f>
        <v>#DIV/0!</v>
      </c>
      <c r="I122" s="443"/>
      <c r="J122" s="443" t="e">
        <f>(F$44+F$49)/((F$19+H$19)/2)</f>
        <v>#DIV/0!</v>
      </c>
      <c r="K122" s="443"/>
      <c r="L122" s="443" t="e">
        <f>(H$44+H$49)/((H$19+J$19)/2)</f>
        <v>#DIV/0!</v>
      </c>
      <c r="M122" s="408"/>
    </row>
    <row r="123" spans="1:13" ht="15.75" customHeight="1">
      <c r="A123" s="412"/>
      <c r="B123" s="419"/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s="408"/>
    </row>
    <row r="124" spans="1:13" ht="15.75" customHeight="1">
      <c r="A124" s="412"/>
      <c r="B124" s="441" t="s">
        <v>1239</v>
      </c>
      <c r="C124" s="424"/>
      <c r="D124" s="425"/>
      <c r="E124" s="425"/>
      <c r="F124" s="425"/>
      <c r="G124" s="425"/>
      <c r="H124" s="425"/>
      <c r="I124" s="425"/>
      <c r="J124" s="425"/>
      <c r="K124" s="425"/>
      <c r="L124" s="425"/>
      <c r="M124" s="408"/>
    </row>
    <row r="125" spans="1:13" ht="15.75" customHeight="1">
      <c r="A125" s="412"/>
      <c r="B125" s="439" t="s">
        <v>9</v>
      </c>
      <c r="C125" s="420"/>
      <c r="D125" s="440" t="s">
        <v>1157</v>
      </c>
      <c r="E125" s="440"/>
      <c r="F125" s="440"/>
      <c r="G125" s="437"/>
      <c r="H125" s="439" t="s">
        <v>1158</v>
      </c>
      <c r="I125" s="420"/>
      <c r="J125" s="439" t="s">
        <v>1159</v>
      </c>
      <c r="K125" s="420"/>
      <c r="L125" s="439" t="s">
        <v>1159</v>
      </c>
      <c r="M125" s="408"/>
    </row>
    <row r="126" spans="1:13" ht="15.75" customHeight="1">
      <c r="A126" s="412"/>
      <c r="B126" s="427" t="s">
        <v>1228</v>
      </c>
      <c r="C126" s="427"/>
      <c r="D126" s="444"/>
      <c r="E126" s="444"/>
      <c r="F126" s="426"/>
      <c r="G126" s="426"/>
      <c r="H126" s="420">
        <f>D$57</f>
        <v>0</v>
      </c>
      <c r="I126" s="420"/>
      <c r="J126" s="420">
        <f>F$57</f>
        <v>0</v>
      </c>
      <c r="K126" s="420"/>
      <c r="L126" s="420">
        <f>H$57</f>
        <v>0</v>
      </c>
      <c r="M126" s="408"/>
    </row>
    <row r="127" spans="1:13" ht="15.75" customHeight="1">
      <c r="A127" s="412"/>
      <c r="B127" s="427" t="s">
        <v>1229</v>
      </c>
      <c r="C127" s="427"/>
      <c r="D127" s="444" t="s">
        <v>1230</v>
      </c>
      <c r="E127" s="444"/>
      <c r="F127" s="426"/>
      <c r="G127" s="426"/>
      <c r="H127" s="420" t="e">
        <f>D$27/D$58</f>
        <v>#DIV/0!</v>
      </c>
      <c r="I127" s="420"/>
      <c r="J127" s="420" t="e">
        <f>F$27/F$58</f>
        <v>#DIV/0!</v>
      </c>
      <c r="K127" s="420"/>
      <c r="L127" s="420" t="e">
        <f>H$27/H$58</f>
        <v>#DIV/0!</v>
      </c>
      <c r="M127" s="408"/>
    </row>
    <row r="128" spans="1:13" ht="15.75" customHeight="1">
      <c r="A128" s="412"/>
      <c r="B128" s="427" t="s">
        <v>1231</v>
      </c>
      <c r="C128" s="427"/>
      <c r="D128" s="444" t="s">
        <v>1232</v>
      </c>
      <c r="E128" s="444"/>
      <c r="F128" s="426"/>
      <c r="G128" s="426"/>
      <c r="H128" s="420" t="e">
        <f>SUM(D$41,D$46)/SUM(D$42,D$47)</f>
        <v>#DIV/0!</v>
      </c>
      <c r="I128" s="420"/>
      <c r="J128" s="420" t="e">
        <f>SUM(F$41,F$46)/SUM(F$42,F$47)</f>
        <v>#DIV/0!</v>
      </c>
      <c r="K128" s="420"/>
      <c r="L128" s="420" t="e">
        <f>SUM(H$41,H$46)/SUM(H$42,H$47)</f>
        <v>#DIV/0!</v>
      </c>
      <c r="M128" s="408"/>
    </row>
    <row r="129" spans="1:13" ht="15.75" customHeight="1">
      <c r="A129" s="412"/>
      <c r="B129" s="416"/>
      <c r="C129" s="416"/>
      <c r="D129" s="416"/>
      <c r="E129" s="416"/>
      <c r="F129" s="416"/>
      <c r="G129" s="416"/>
      <c r="H129" s="416"/>
      <c r="I129" s="416"/>
      <c r="J129" s="416"/>
      <c r="K129" s="416"/>
      <c r="L129" s="416"/>
      <c r="M129" s="408"/>
    </row>
    <row r="130" spans="1:13" ht="15.75" customHeight="1">
      <c r="A130" s="412"/>
      <c r="B130" s="416"/>
      <c r="C130" s="416"/>
      <c r="D130" s="416"/>
      <c r="E130" s="416"/>
      <c r="F130" s="416"/>
      <c r="G130" s="416"/>
      <c r="H130" s="416"/>
      <c r="I130" s="416"/>
      <c r="J130" s="416"/>
      <c r="K130" s="416"/>
      <c r="L130" s="416"/>
      <c r="M130" s="408"/>
    </row>
    <row r="131" spans="1:13" ht="15.75" customHeight="1">
      <c r="A131" s="412"/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08"/>
    </row>
    <row r="132" spans="1:13" ht="15.75" customHeight="1">
      <c r="A132" s="412"/>
      <c r="B132" s="416"/>
      <c r="C132" s="416"/>
      <c r="D132" s="416"/>
      <c r="E132" s="416"/>
      <c r="F132" s="416"/>
      <c r="G132" s="416"/>
      <c r="H132" s="416"/>
      <c r="I132" s="416"/>
      <c r="J132" s="416"/>
      <c r="K132" s="416"/>
      <c r="L132" s="416"/>
      <c r="M132" s="408"/>
    </row>
    <row r="133" spans="1:13" ht="15.75" customHeight="1">
      <c r="A133" s="412"/>
      <c r="B133" s="416"/>
      <c r="C133" s="416"/>
      <c r="D133" s="416"/>
      <c r="E133" s="416"/>
      <c r="F133" s="416"/>
      <c r="G133" s="416"/>
      <c r="H133" s="416"/>
      <c r="I133" s="416"/>
      <c r="J133" s="416"/>
      <c r="K133" s="416"/>
      <c r="L133" s="416"/>
      <c r="M133" s="408"/>
    </row>
    <row r="134" spans="1:13" ht="15.75" customHeight="1">
      <c r="A134" s="412"/>
      <c r="B134" s="416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08"/>
    </row>
    <row r="135" spans="1:13" ht="15.75" customHeight="1">
      <c r="A135" s="412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08"/>
    </row>
    <row r="136" spans="1:13" ht="15.75" customHeight="1">
      <c r="A136" s="412"/>
      <c r="B136" s="416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08"/>
    </row>
    <row r="137" spans="1:13" ht="15.75" customHeight="1">
      <c r="A137" s="412"/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08"/>
    </row>
    <row r="138" spans="1:13" ht="15.75" customHeight="1">
      <c r="A138" s="412"/>
      <c r="B138" s="412"/>
      <c r="C138" s="412"/>
      <c r="D138" s="412"/>
      <c r="E138" s="412"/>
      <c r="F138" s="412"/>
      <c r="G138" s="412"/>
      <c r="H138" s="412"/>
      <c r="I138" s="412"/>
      <c r="J138" s="412"/>
      <c r="K138" s="412"/>
      <c r="L138" s="412"/>
    </row>
    <row r="139" spans="1:13" ht="15.75" customHeight="1">
      <c r="A139" s="412"/>
      <c r="B139" s="412"/>
      <c r="C139" s="412"/>
      <c r="D139" s="412"/>
      <c r="E139" s="412"/>
      <c r="F139" s="412"/>
      <c r="G139" s="412"/>
      <c r="H139" s="412"/>
      <c r="I139" s="412"/>
      <c r="J139" s="412"/>
      <c r="K139" s="412"/>
      <c r="L139" s="412"/>
    </row>
  </sheetData>
  <mergeCells count="6">
    <mergeCell ref="E1:F1"/>
    <mergeCell ref="E2:F3"/>
    <mergeCell ref="G1:H1"/>
    <mergeCell ref="I1:J1"/>
    <mergeCell ref="I2:J3"/>
    <mergeCell ref="G2:H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82" orientation="portrait" r:id="rId1"/>
  <rowBreaks count="2" manualBreakCount="2">
    <brk id="60" max="16383" man="1"/>
    <brk id="11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4"/>
  <dimension ref="A1:L65"/>
  <sheetViews>
    <sheetView zoomScaleSheetLayoutView="85" workbookViewId="0">
      <selection activeCell="Q14" sqref="Q14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2" ht="15.75" customHeight="1">
      <c r="A1" s="448" t="str">
        <f>기본사항!$C$2</f>
        <v>(재)한국여성재단</v>
      </c>
      <c r="B1" s="449"/>
      <c r="C1" s="449"/>
      <c r="D1" s="449"/>
      <c r="E1" s="450"/>
      <c r="F1" s="1253" t="s">
        <v>112</v>
      </c>
      <c r="G1" s="1254"/>
      <c r="H1" s="1253" t="s">
        <v>0</v>
      </c>
      <c r="I1" s="1254"/>
      <c r="J1" s="460" t="s">
        <v>1</v>
      </c>
    </row>
    <row r="2" spans="1:12" ht="15.75" customHeight="1">
      <c r="A2" s="448" t="s">
        <v>1294</v>
      </c>
      <c r="B2" s="449"/>
      <c r="C2" s="449"/>
      <c r="D2" s="449"/>
      <c r="E2" s="450"/>
      <c r="F2" s="1255"/>
      <c r="G2" s="1256"/>
      <c r="H2" s="1259">
        <f>기본사항!$C$14</f>
        <v>40563</v>
      </c>
      <c r="I2" s="1260"/>
      <c r="J2" s="1263" t="str">
        <f>기본사항!$C$17</f>
        <v>Kbj</v>
      </c>
    </row>
    <row r="3" spans="1:12" ht="15.75" customHeight="1">
      <c r="A3" s="448" t="str">
        <f>기본사항!$C$9</f>
        <v>A : 12-31-2011</v>
      </c>
      <c r="B3" s="449"/>
      <c r="C3" s="449"/>
      <c r="D3" s="449"/>
      <c r="E3" s="450"/>
      <c r="F3" s="1257"/>
      <c r="G3" s="1258"/>
      <c r="H3" s="1261"/>
      <c r="I3" s="1262"/>
      <c r="J3" s="1264"/>
    </row>
    <row r="6" spans="1:12" ht="15.75" customHeight="1">
      <c r="A6" s="222"/>
      <c r="B6" s="452" t="s">
        <v>1030</v>
      </c>
      <c r="D6" s="463" t="s">
        <v>1289</v>
      </c>
      <c r="E6" s="463"/>
      <c r="F6" s="463"/>
      <c r="H6" s="452" t="s">
        <v>1290</v>
      </c>
      <c r="I6" s="243"/>
      <c r="J6" s="242"/>
      <c r="K6" s="243"/>
      <c r="L6" s="242"/>
    </row>
    <row r="7" spans="1:12" ht="15.75" customHeight="1">
      <c r="A7" s="222"/>
      <c r="B7" s="465" t="s">
        <v>1291</v>
      </c>
      <c r="D7" s="464"/>
      <c r="E7" s="464"/>
      <c r="F7" s="464"/>
      <c r="H7" s="242"/>
      <c r="I7" s="243"/>
      <c r="J7" s="242"/>
      <c r="K7" s="243"/>
      <c r="L7" s="242"/>
    </row>
    <row r="8" spans="1:12" s="225" customFormat="1" ht="15.75" customHeight="1">
      <c r="A8" s="224"/>
      <c r="B8" s="461" t="s">
        <v>123</v>
      </c>
      <c r="D8" s="225" t="s">
        <v>1243</v>
      </c>
      <c r="I8" s="226"/>
      <c r="J8" s="226"/>
      <c r="K8" s="226"/>
      <c r="L8" s="226"/>
    </row>
    <row r="9" spans="1:12" s="225" customFormat="1" ht="15.75" customHeight="1">
      <c r="A9" s="224"/>
      <c r="B9" s="461" t="s">
        <v>1246</v>
      </c>
      <c r="D9" s="225" t="s">
        <v>1247</v>
      </c>
      <c r="I9" s="226"/>
      <c r="J9" s="226"/>
      <c r="K9" s="226"/>
      <c r="L9" s="226"/>
    </row>
    <row r="10" spans="1:12" s="225" customFormat="1" ht="15.75" customHeight="1">
      <c r="A10" s="224"/>
      <c r="B10" s="462" t="s">
        <v>1248</v>
      </c>
      <c r="D10" s="225" t="s">
        <v>1249</v>
      </c>
      <c r="I10" s="226"/>
      <c r="J10" s="226"/>
      <c r="K10" s="226"/>
      <c r="L10" s="226"/>
    </row>
    <row r="11" spans="1:12" s="225" customFormat="1" ht="15.75" customHeight="1">
      <c r="A11" s="224"/>
      <c r="B11" s="461" t="s">
        <v>1251</v>
      </c>
      <c r="D11" s="225" t="s">
        <v>1252</v>
      </c>
      <c r="I11" s="226"/>
      <c r="J11" s="226"/>
      <c r="K11" s="226"/>
      <c r="L11" s="226"/>
    </row>
    <row r="12" spans="1:12" s="225" customFormat="1" ht="15.75" customHeight="1">
      <c r="A12" s="224"/>
      <c r="B12" s="462" t="s">
        <v>1255</v>
      </c>
      <c r="D12" s="225" t="s">
        <v>1256</v>
      </c>
    </row>
    <row r="13" spans="1:12" s="225" customFormat="1" ht="15.75" customHeight="1">
      <c r="A13" s="224"/>
      <c r="B13" s="462" t="s">
        <v>1259</v>
      </c>
      <c r="D13" s="225" t="s">
        <v>1260</v>
      </c>
    </row>
    <row r="14" spans="1:12" s="225" customFormat="1" ht="15.75" customHeight="1">
      <c r="A14" s="224"/>
      <c r="B14" s="462" t="s">
        <v>1263</v>
      </c>
      <c r="D14" s="225" t="s">
        <v>38</v>
      </c>
    </row>
    <row r="15" spans="1:12" s="225" customFormat="1" ht="15.75" customHeight="1">
      <c r="A15" s="224"/>
      <c r="B15" s="462" t="s">
        <v>1264</v>
      </c>
      <c r="D15" s="225" t="s">
        <v>1265</v>
      </c>
    </row>
    <row r="16" spans="1:12" s="225" customFormat="1" ht="15.75" customHeight="1">
      <c r="A16" s="224"/>
      <c r="B16" s="462" t="s">
        <v>1268</v>
      </c>
      <c r="D16" s="225" t="s">
        <v>1269</v>
      </c>
    </row>
    <row r="17" spans="1:12" s="225" customFormat="1" ht="15.75" customHeight="1">
      <c r="A17" s="224"/>
      <c r="B17" s="462" t="s">
        <v>1270</v>
      </c>
      <c r="D17" s="225" t="s">
        <v>1271</v>
      </c>
    </row>
    <row r="18" spans="1:12" s="225" customFormat="1" ht="15.75" customHeight="1">
      <c r="A18" s="224"/>
      <c r="B18" s="462" t="s">
        <v>1274</v>
      </c>
      <c r="D18" s="225" t="s">
        <v>1275</v>
      </c>
    </row>
    <row r="19" spans="1:12" s="225" customFormat="1" ht="15.75" customHeight="1">
      <c r="A19" s="224"/>
      <c r="B19" s="462" t="s">
        <v>2668</v>
      </c>
      <c r="D19" s="225" t="s">
        <v>1278</v>
      </c>
    </row>
    <row r="20" spans="1:12" s="225" customFormat="1" ht="15.75" customHeight="1">
      <c r="A20" s="224"/>
      <c r="B20" s="462" t="s">
        <v>1281</v>
      </c>
      <c r="D20" s="225" t="s">
        <v>1282</v>
      </c>
    </row>
    <row r="21" spans="1:12" s="225" customFormat="1" ht="15.75" customHeight="1">
      <c r="A21" s="224"/>
      <c r="B21" s="462" t="s">
        <v>1283</v>
      </c>
      <c r="D21" s="225" t="s">
        <v>1284</v>
      </c>
    </row>
    <row r="22" spans="1:12" s="225" customFormat="1" ht="15.75" customHeight="1">
      <c r="A22" s="224"/>
      <c r="B22" s="462" t="s">
        <v>1285</v>
      </c>
      <c r="D22" s="225" t="s">
        <v>1286</v>
      </c>
    </row>
    <row r="23" spans="1:12" s="225" customFormat="1" ht="15.75" customHeight="1">
      <c r="A23" s="224"/>
      <c r="B23" s="462" t="s">
        <v>1287</v>
      </c>
      <c r="D23" s="225" t="s">
        <v>1288</v>
      </c>
    </row>
    <row r="24" spans="1:12" s="225" customFormat="1" ht="15.75" customHeight="1">
      <c r="A24" s="224"/>
      <c r="B24" s="462" t="s">
        <v>1244</v>
      </c>
      <c r="D24" s="225" t="s">
        <v>1245</v>
      </c>
    </row>
    <row r="25" spans="1:12" s="225" customFormat="1" ht="15.75" customHeight="1">
      <c r="A25" s="224"/>
      <c r="B25" s="462"/>
    </row>
    <row r="26" spans="1:12" s="225" customFormat="1" ht="15.75" customHeight="1">
      <c r="A26" s="224"/>
      <c r="B26" s="465" t="s">
        <v>1292</v>
      </c>
    </row>
    <row r="27" spans="1:12" s="225" customFormat="1" ht="15.75" customHeight="1">
      <c r="A27" s="224"/>
      <c r="B27" s="462" t="s">
        <v>1250</v>
      </c>
      <c r="D27" s="225" t="s">
        <v>1295</v>
      </c>
    </row>
    <row r="28" spans="1:12" s="225" customFormat="1" ht="15.75" customHeight="1">
      <c r="A28" s="224"/>
      <c r="B28" s="462" t="s">
        <v>1253</v>
      </c>
      <c r="D28" s="225" t="s">
        <v>1254</v>
      </c>
    </row>
    <row r="29" spans="1:12" s="225" customFormat="1" ht="15.75" customHeight="1">
      <c r="A29" s="224"/>
      <c r="B29" s="462" t="s">
        <v>1257</v>
      </c>
      <c r="D29" s="225" t="s">
        <v>1258</v>
      </c>
    </row>
    <row r="30" spans="1:12" s="225" customFormat="1" ht="15.75" customHeight="1">
      <c r="A30" s="224"/>
      <c r="B30" s="462" t="s">
        <v>1261</v>
      </c>
      <c r="D30" s="225" t="s">
        <v>1262</v>
      </c>
    </row>
    <row r="31" spans="1:12" s="225" customFormat="1" ht="15.75" customHeight="1">
      <c r="A31" s="224"/>
      <c r="B31" s="462" t="s">
        <v>138</v>
      </c>
      <c r="D31" s="225" t="s">
        <v>1296</v>
      </c>
    </row>
    <row r="32" spans="1:12" s="225" customFormat="1" ht="15.75" customHeight="1">
      <c r="B32" s="462" t="s">
        <v>1266</v>
      </c>
      <c r="D32" s="225" t="s">
        <v>1267</v>
      </c>
      <c r="I32" s="226"/>
      <c r="J32" s="226"/>
      <c r="K32" s="226"/>
      <c r="L32" s="226"/>
    </row>
    <row r="33" spans="1:12" s="225" customFormat="1" ht="15.75" customHeight="1">
      <c r="B33" s="462"/>
      <c r="I33" s="226"/>
      <c r="J33" s="226"/>
      <c r="K33" s="226"/>
      <c r="L33" s="226"/>
    </row>
    <row r="34" spans="1:12" s="225" customFormat="1" ht="15.75" customHeight="1">
      <c r="B34" s="465" t="s">
        <v>1293</v>
      </c>
      <c r="I34" s="226"/>
      <c r="J34" s="226"/>
      <c r="K34" s="226"/>
      <c r="L34" s="226"/>
    </row>
    <row r="35" spans="1:12" s="225" customFormat="1" ht="15.75" customHeight="1">
      <c r="A35" s="228"/>
      <c r="B35" s="462" t="s">
        <v>1272</v>
      </c>
      <c r="D35" s="225" t="s">
        <v>1273</v>
      </c>
    </row>
    <row r="36" spans="1:12" s="225" customFormat="1" ht="15.75" customHeight="1">
      <c r="A36" s="224"/>
      <c r="B36" s="462" t="s">
        <v>1276</v>
      </c>
      <c r="D36" s="225" t="s">
        <v>1277</v>
      </c>
    </row>
    <row r="37" spans="1:12" s="225" customFormat="1" ht="15.75" customHeight="1">
      <c r="A37" s="224"/>
      <c r="B37" s="462" t="s">
        <v>1279</v>
      </c>
      <c r="D37" s="225" t="s">
        <v>1280</v>
      </c>
    </row>
    <row r="38" spans="1:12" s="225" customFormat="1" ht="15.75" customHeight="1">
      <c r="A38" s="224"/>
    </row>
    <row r="39" spans="1:12" s="225" customFormat="1" ht="15.75" customHeight="1">
      <c r="A39" s="224"/>
    </row>
    <row r="40" spans="1:12" s="225" customFormat="1" ht="15.75" customHeight="1">
      <c r="A40" s="224"/>
    </row>
    <row r="41" spans="1:12" s="225" customFormat="1" ht="15.75" customHeight="1">
      <c r="A41" s="224"/>
    </row>
    <row r="42" spans="1:12" s="225" customFormat="1" ht="15.75" customHeight="1">
      <c r="A42" s="224"/>
    </row>
    <row r="43" spans="1:12" s="225" customFormat="1" ht="15.75" customHeight="1"/>
    <row r="44" spans="1:12" s="225" customFormat="1" ht="15.75" customHeight="1">
      <c r="A44" s="228"/>
    </row>
    <row r="45" spans="1:12" s="225" customFormat="1" ht="15.75" customHeight="1"/>
    <row r="46" spans="1:12" s="225" customFormat="1" ht="15.75" customHeight="1"/>
    <row r="47" spans="1:12" s="225" customFormat="1" ht="15.75" customHeight="1">
      <c r="A47" s="228"/>
    </row>
    <row r="48" spans="1:12" s="229" customFormat="1" ht="15.75" customHeight="1">
      <c r="A48" s="253"/>
      <c r="B48" s="225"/>
      <c r="C48" s="225"/>
      <c r="D48" s="225"/>
      <c r="E48" s="225"/>
      <c r="F48" s="225"/>
      <c r="G48" s="225"/>
      <c r="H48" s="225"/>
      <c r="I48" s="225"/>
      <c r="J48" s="225"/>
    </row>
    <row r="49" spans="1:10" s="225" customFormat="1" ht="15.75" customHeight="1">
      <c r="A49" s="264"/>
    </row>
    <row r="50" spans="1:10" s="225" customFormat="1" ht="15.75" customHeight="1">
      <c r="A50" s="264"/>
    </row>
    <row r="51" spans="1:10" s="229" customFormat="1" ht="15.75" customHeight="1">
      <c r="A51" s="253"/>
      <c r="B51" s="225"/>
      <c r="C51" s="225"/>
      <c r="D51" s="225"/>
      <c r="E51" s="225"/>
      <c r="F51" s="225"/>
      <c r="G51" s="225"/>
      <c r="H51" s="225"/>
      <c r="I51" s="225"/>
      <c r="J51" s="225"/>
    </row>
    <row r="52" spans="1:10" s="225" customFormat="1" ht="15.75" customHeight="1">
      <c r="A52" s="264"/>
    </row>
    <row r="53" spans="1:10" s="225" customFormat="1" ht="15.75" customHeight="1">
      <c r="A53" s="264"/>
    </row>
    <row r="54" spans="1:10" s="229" customFormat="1" ht="15.75" customHeight="1">
      <c r="A54" s="253"/>
      <c r="B54" s="225"/>
      <c r="C54" s="225"/>
      <c r="D54" s="225"/>
      <c r="E54" s="225"/>
      <c r="F54" s="225"/>
      <c r="G54" s="225"/>
      <c r="H54" s="225"/>
      <c r="I54" s="225"/>
      <c r="J54" s="225"/>
    </row>
    <row r="55" spans="1:10" s="225" customFormat="1" ht="15.75" customHeight="1"/>
    <row r="56" spans="1:10" s="225" customFormat="1" ht="15.75" customHeight="1"/>
    <row r="57" spans="1:10" s="225" customFormat="1" ht="15.75" customHeight="1"/>
    <row r="58" spans="1:10" s="225" customFormat="1" ht="15.75" customHeight="1"/>
    <row r="59" spans="1:10" s="225" customFormat="1" ht="15.75" customHeight="1"/>
    <row r="60" spans="1:10" s="225" customFormat="1" ht="15.75" customHeight="1"/>
    <row r="61" spans="1:10" s="225" customFormat="1" ht="15.75" customHeight="1"/>
    <row r="62" spans="1:10" s="225" customFormat="1" ht="15.75" customHeight="1"/>
    <row r="63" spans="1:10" s="225" customFormat="1" ht="15.75" customHeight="1"/>
    <row r="64" spans="1:10" s="225" customFormat="1" ht="15.75" customHeight="1"/>
    <row r="65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8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5">
    <tabColor rgb="FFFF0000"/>
  </sheetPr>
  <dimension ref="A1:P87"/>
  <sheetViews>
    <sheetView topLeftCell="A64" zoomScaleSheetLayoutView="85" workbookViewId="0">
      <selection activeCell="C70" sqref="C70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TableofContents!$D$8</f>
        <v>현금및현금성자산, 장단기금융상품</v>
      </c>
      <c r="B2" s="449"/>
      <c r="C2" s="449"/>
      <c r="D2" s="449"/>
      <c r="E2" s="449"/>
      <c r="F2" s="449"/>
      <c r="G2" s="450"/>
      <c r="H2" s="1255" t="str">
        <f>"DIR - "&amp;TableofContents!$B$8</f>
        <v>DIR - A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5" t="s">
        <v>1321</v>
      </c>
      <c r="N16" s="247" t="s">
        <v>1305</v>
      </c>
    </row>
    <row r="17" spans="1:14" s="225" customFormat="1" ht="15.75" customHeight="1">
      <c r="A17" s="224"/>
      <c r="B17" s="224"/>
      <c r="C17" s="224"/>
      <c r="D17" s="224" t="s">
        <v>1331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5" t="s">
        <v>1322</v>
      </c>
      <c r="N19" s="247" t="s">
        <v>1307</v>
      </c>
    </row>
    <row r="20" spans="1:14" s="225" customFormat="1" ht="15.75" customHeight="1">
      <c r="D20" s="471" t="s">
        <v>1326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471" t="s">
        <v>1327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B23" s="224" t="s">
        <v>1070</v>
      </c>
      <c r="C23" s="225" t="s">
        <v>1328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1308</v>
      </c>
    </row>
    <row r="24" spans="1:14" s="225" customFormat="1" ht="15.75" customHeight="1">
      <c r="A24" s="224"/>
      <c r="B24" s="224"/>
      <c r="C24" s="224"/>
      <c r="D24" s="224" t="s">
        <v>1329</v>
      </c>
    </row>
    <row r="25" spans="1:14" s="225" customFormat="1" ht="15.75" customHeight="1">
      <c r="A25" s="224"/>
      <c r="B25" s="224"/>
      <c r="C25" s="224"/>
      <c r="D25" s="224" t="s">
        <v>1330</v>
      </c>
    </row>
    <row r="26" spans="1:14" s="225" customFormat="1" ht="15.75" customHeight="1">
      <c r="A26" s="224"/>
      <c r="B26" s="224"/>
      <c r="C26" s="224"/>
      <c r="D26" s="224"/>
    </row>
    <row r="27" spans="1:14" s="225" customFormat="1" ht="15.75" customHeight="1">
      <c r="A27" s="224"/>
      <c r="B27" s="224" t="s">
        <v>1332</v>
      </c>
      <c r="C27" s="225" t="s">
        <v>1333</v>
      </c>
      <c r="D27" s="224"/>
      <c r="N27" s="247" t="s">
        <v>1309</v>
      </c>
    </row>
    <row r="28" spans="1:14" s="225" customFormat="1" ht="15.75" customHeight="1">
      <c r="A28" s="224"/>
      <c r="B28" s="224"/>
      <c r="C28" s="224" t="s">
        <v>1334</v>
      </c>
      <c r="D28" s="224" t="s">
        <v>1335</v>
      </c>
    </row>
    <row r="29" spans="1:14" s="225" customFormat="1" ht="15.75" customHeight="1">
      <c r="A29" s="224"/>
      <c r="B29" s="224"/>
      <c r="C29" s="224"/>
      <c r="D29" s="224" t="s">
        <v>1336</v>
      </c>
    </row>
    <row r="30" spans="1:14" s="225" customFormat="1" ht="15.75" customHeight="1">
      <c r="A30" s="224"/>
      <c r="B30" s="224"/>
      <c r="C30" s="224"/>
      <c r="D30" s="224" t="s">
        <v>1337</v>
      </c>
    </row>
    <row r="31" spans="1:14" s="225" customFormat="1" ht="15.75" customHeight="1">
      <c r="A31" s="224"/>
      <c r="B31" s="224"/>
      <c r="C31" s="224"/>
      <c r="D31" s="224" t="s">
        <v>1338</v>
      </c>
    </row>
    <row r="32" spans="1:14" s="225" customFormat="1" ht="15.75" customHeight="1">
      <c r="A32" s="224"/>
      <c r="B32" s="224"/>
      <c r="C32" s="224"/>
      <c r="D32" s="472" t="s">
        <v>1339</v>
      </c>
    </row>
    <row r="33" spans="1:4" s="225" customFormat="1" ht="15.75" customHeight="1">
      <c r="A33" s="224"/>
      <c r="B33" s="224"/>
      <c r="C33" s="224"/>
      <c r="D33" s="472" t="s">
        <v>1340</v>
      </c>
    </row>
    <row r="34" spans="1:4" s="225" customFormat="1" ht="15.75" customHeight="1">
      <c r="A34" s="224"/>
      <c r="B34" s="224"/>
      <c r="C34" s="224"/>
      <c r="D34" s="224" t="s">
        <v>1341</v>
      </c>
    </row>
    <row r="35" spans="1:4" s="225" customFormat="1" ht="15.75" customHeight="1">
      <c r="D35" s="224" t="s">
        <v>1342</v>
      </c>
    </row>
    <row r="36" spans="1:4" s="225" customFormat="1" ht="15.75" customHeight="1">
      <c r="D36" s="224"/>
    </row>
    <row r="37" spans="1:4" s="225" customFormat="1" ht="15.75" customHeight="1">
      <c r="C37" s="224" t="s">
        <v>1343</v>
      </c>
      <c r="D37" s="224" t="s">
        <v>1344</v>
      </c>
    </row>
    <row r="38" spans="1:4" s="225" customFormat="1" ht="15.75" customHeight="1">
      <c r="D38" s="224" t="s">
        <v>1345</v>
      </c>
    </row>
    <row r="39" spans="1:4" s="225" customFormat="1" ht="15.75" customHeight="1">
      <c r="D39" s="224" t="s">
        <v>1346</v>
      </c>
    </row>
    <row r="40" spans="1:4" s="225" customFormat="1" ht="15.75" customHeight="1">
      <c r="D40" s="224"/>
    </row>
    <row r="41" spans="1:4" s="225" customFormat="1" ht="15.75" customHeight="1">
      <c r="C41" s="224" t="s">
        <v>1348</v>
      </c>
      <c r="D41" s="224" t="s">
        <v>1349</v>
      </c>
    </row>
    <row r="42" spans="1:4" s="225" customFormat="1" ht="15.75" customHeight="1">
      <c r="D42" s="224" t="s">
        <v>1350</v>
      </c>
    </row>
    <row r="43" spans="1:4" s="225" customFormat="1" ht="15.75" customHeight="1">
      <c r="D43" s="224" t="s">
        <v>1351</v>
      </c>
    </row>
    <row r="44" spans="1:4" s="225" customFormat="1" ht="15.75" customHeight="1">
      <c r="D44" s="224" t="s">
        <v>1352</v>
      </c>
    </row>
    <row r="45" spans="1:4" s="225" customFormat="1" ht="15.75" customHeight="1">
      <c r="D45" s="224" t="s">
        <v>1353</v>
      </c>
    </row>
    <row r="46" spans="1:4" s="225" customFormat="1" ht="15.75" customHeight="1">
      <c r="D46" s="224" t="s">
        <v>1354</v>
      </c>
    </row>
    <row r="47" spans="1:4" s="225" customFormat="1" ht="15.75" customHeight="1">
      <c r="D47" s="224" t="s">
        <v>1355</v>
      </c>
    </row>
    <row r="48" spans="1:4" s="225" customFormat="1" ht="15.75" customHeight="1">
      <c r="D48" s="224"/>
    </row>
    <row r="49" spans="1:14" s="225" customFormat="1" ht="15.75" customHeight="1">
      <c r="C49" s="224" t="s">
        <v>1356</v>
      </c>
      <c r="D49" s="224" t="s">
        <v>1357</v>
      </c>
    </row>
    <row r="50" spans="1:14" s="225" customFormat="1" ht="15.75" customHeight="1">
      <c r="D50" s="224"/>
    </row>
    <row r="51" spans="1:14" s="225" customFormat="1" ht="15.75" customHeight="1">
      <c r="C51" s="224" t="s">
        <v>1358</v>
      </c>
      <c r="D51" s="224" t="s">
        <v>1359</v>
      </c>
    </row>
    <row r="52" spans="1:14" s="225" customFormat="1" ht="15.75" customHeight="1">
      <c r="D52" s="224"/>
    </row>
    <row r="53" spans="1:14" s="225" customFormat="1" ht="15.75" customHeight="1">
      <c r="B53" s="224" t="s">
        <v>1360</v>
      </c>
      <c r="C53" s="225" t="s">
        <v>1361</v>
      </c>
      <c r="D53" s="224"/>
      <c r="N53" s="247" t="s">
        <v>1309</v>
      </c>
    </row>
    <row r="54" spans="1:14" s="225" customFormat="1" ht="15.75" customHeight="1">
      <c r="A54" s="228"/>
      <c r="B54" s="228"/>
      <c r="C54" s="228"/>
    </row>
    <row r="55" spans="1:14" s="225" customFormat="1" ht="15.75" customHeight="1">
      <c r="C55" s="224" t="s">
        <v>1334</v>
      </c>
      <c r="D55" s="224" t="s">
        <v>1363</v>
      </c>
    </row>
    <row r="56" spans="1:14" s="225" customFormat="1" ht="15.75" customHeight="1">
      <c r="D56" s="224" t="s">
        <v>1362</v>
      </c>
    </row>
    <row r="57" spans="1:14" s="225" customFormat="1" ht="15.75" customHeight="1">
      <c r="A57" s="228"/>
      <c r="B57" s="228"/>
      <c r="C57" s="228"/>
    </row>
    <row r="58" spans="1:14" s="229" customFormat="1" ht="15.75" customHeight="1">
      <c r="A58" s="253"/>
      <c r="B58" s="253"/>
      <c r="C58" s="224" t="s">
        <v>1366</v>
      </c>
      <c r="D58" s="224" t="s">
        <v>1364</v>
      </c>
      <c r="E58" s="225"/>
      <c r="F58" s="225"/>
      <c r="G58" s="225"/>
      <c r="H58" s="225"/>
      <c r="I58" s="225"/>
      <c r="J58" s="225"/>
      <c r="K58" s="225"/>
      <c r="L58" s="225"/>
    </row>
    <row r="59" spans="1:14" s="225" customFormat="1" ht="15.75" customHeight="1">
      <c r="A59" s="264"/>
      <c r="B59" s="264"/>
      <c r="D59" s="224" t="s">
        <v>1365</v>
      </c>
    </row>
    <row r="60" spans="1:14" s="225" customFormat="1" ht="15.75" customHeight="1">
      <c r="A60" s="264"/>
      <c r="B60" s="264"/>
    </row>
    <row r="61" spans="1:14" s="225" customFormat="1" ht="15.75" customHeight="1">
      <c r="A61" s="264"/>
      <c r="B61" s="264"/>
      <c r="C61" s="224" t="s">
        <v>1348</v>
      </c>
      <c r="D61" s="224" t="s">
        <v>1369</v>
      </c>
    </row>
    <row r="62" spans="1:14" s="225" customFormat="1" ht="15.75" customHeight="1">
      <c r="A62" s="264"/>
      <c r="B62" s="264"/>
      <c r="D62" s="224" t="s">
        <v>1370</v>
      </c>
    </row>
    <row r="63" spans="1:14" s="225" customFormat="1" ht="15.75" customHeight="1">
      <c r="A63" s="264"/>
      <c r="B63" s="264"/>
    </row>
    <row r="64" spans="1:14" s="225" customFormat="1" ht="15.75" customHeight="1">
      <c r="A64" s="264"/>
      <c r="B64" s="264"/>
      <c r="C64" s="224" t="s">
        <v>1356</v>
      </c>
      <c r="D64" s="224" t="s">
        <v>1368</v>
      </c>
    </row>
    <row r="65" spans="1:14" s="225" customFormat="1" ht="15.75" customHeight="1">
      <c r="A65" s="264"/>
      <c r="B65" s="264"/>
    </row>
    <row r="66" spans="1:14" s="225" customFormat="1" ht="15.75" customHeight="1">
      <c r="A66" s="264"/>
      <c r="B66" s="264"/>
      <c r="C66" s="224" t="s">
        <v>1358</v>
      </c>
      <c r="D66" s="224" t="s">
        <v>1367</v>
      </c>
    </row>
    <row r="67" spans="1:14" s="225" customFormat="1" ht="15.75" customHeight="1">
      <c r="A67" s="264"/>
      <c r="B67" s="264"/>
    </row>
    <row r="68" spans="1:14" s="225" customFormat="1" ht="15.75" customHeight="1">
      <c r="A68" s="264"/>
      <c r="B68" s="253" t="s">
        <v>1371</v>
      </c>
      <c r="C68" s="225" t="s">
        <v>1372</v>
      </c>
      <c r="N68" s="247" t="s">
        <v>1310</v>
      </c>
    </row>
    <row r="69" spans="1:14" s="225" customFormat="1" ht="15.75" customHeight="1">
      <c r="A69" s="264"/>
      <c r="B69" s="264"/>
    </row>
    <row r="70" spans="1:14" s="225" customFormat="1" ht="15.75" customHeight="1">
      <c r="A70" s="264"/>
      <c r="B70" s="253" t="s">
        <v>1375</v>
      </c>
      <c r="C70" s="224" t="s">
        <v>1377</v>
      </c>
      <c r="N70" s="247" t="s">
        <v>1307</v>
      </c>
    </row>
    <row r="71" spans="1:14" s="225" customFormat="1" ht="15.75" customHeight="1">
      <c r="A71" s="264"/>
      <c r="B71" s="264"/>
    </row>
    <row r="72" spans="1:14" s="225" customFormat="1" ht="15.75" customHeight="1">
      <c r="A72" s="264"/>
      <c r="B72" s="253" t="s">
        <v>1376</v>
      </c>
      <c r="C72" s="224" t="s">
        <v>1378</v>
      </c>
      <c r="N72" s="247" t="s">
        <v>1311</v>
      </c>
    </row>
    <row r="73" spans="1:14" s="225" customFormat="1" ht="15.75" customHeight="1">
      <c r="A73" s="264"/>
      <c r="B73" s="264"/>
      <c r="D73" s="224" t="s">
        <v>1373</v>
      </c>
    </row>
    <row r="74" spans="1:14" s="225" customFormat="1" ht="15.75" customHeight="1">
      <c r="A74" s="264"/>
      <c r="B74" s="264"/>
      <c r="D74" s="224" t="s">
        <v>1374</v>
      </c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53" t="s">
        <v>1379</v>
      </c>
      <c r="C76" s="224" t="s">
        <v>1380</v>
      </c>
      <c r="N76" s="247" t="s">
        <v>1312</v>
      </c>
    </row>
    <row r="77" spans="1:14" s="225" customFormat="1" ht="15.75" customHeight="1">
      <c r="A77" s="264"/>
      <c r="B77" s="264"/>
    </row>
    <row r="78" spans="1:14" s="225" customFormat="1" ht="15.75" customHeight="1">
      <c r="B78" s="224" t="s">
        <v>1381</v>
      </c>
      <c r="C78" s="224" t="s">
        <v>1382</v>
      </c>
      <c r="N78" s="247" t="s">
        <v>1313</v>
      </c>
    </row>
    <row r="79" spans="1:14" s="225" customFormat="1" ht="15.75" customHeight="1"/>
    <row r="80" spans="1:14" s="225" customFormat="1" ht="15.75" customHeight="1">
      <c r="B80" s="224" t="s">
        <v>1383</v>
      </c>
      <c r="C80" s="224" t="s">
        <v>1385</v>
      </c>
      <c r="N80" s="247" t="s">
        <v>1314</v>
      </c>
    </row>
    <row r="81" spans="2:14" s="225" customFormat="1" ht="15.75" customHeight="1"/>
    <row r="82" spans="2:14" s="225" customFormat="1" ht="15.75" customHeight="1">
      <c r="B82" s="224" t="s">
        <v>1384</v>
      </c>
      <c r="C82" s="227" t="s">
        <v>1386</v>
      </c>
      <c r="N82" s="252" t="s">
        <v>1311</v>
      </c>
    </row>
    <row r="83" spans="2:14" s="225" customFormat="1" ht="15.75" customHeight="1">
      <c r="D83" s="223" t="s">
        <v>1387</v>
      </c>
    </row>
    <row r="84" spans="2:14" s="225" customFormat="1" ht="15.75" customHeight="1">
      <c r="D84" s="223" t="s">
        <v>1388</v>
      </c>
    </row>
    <row r="85" spans="2:14" s="225" customFormat="1" ht="15.75" customHeight="1">
      <c r="D85" s="223" t="s">
        <v>1389</v>
      </c>
    </row>
    <row r="86" spans="2:14" s="225" customFormat="1" ht="15.75" customHeight="1"/>
    <row r="87" spans="2:14" s="225" customFormat="1" ht="15.75" customHeight="1">
      <c r="B87" s="224" t="s">
        <v>1390</v>
      </c>
      <c r="C87" s="223" t="s">
        <v>1391</v>
      </c>
    </row>
  </sheetData>
  <mergeCells count="5">
    <mergeCell ref="N2:O2"/>
    <mergeCell ref="N3:O3"/>
    <mergeCell ref="H2:I3"/>
    <mergeCell ref="J2:K2"/>
    <mergeCell ref="J3:K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6"/>
  <dimension ref="A1:L48"/>
  <sheetViews>
    <sheetView zoomScaleSheetLayoutView="85" workbookViewId="0">
      <selection activeCell="C70" sqref="C70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2" ht="15.75" customHeight="1">
      <c r="A1" s="448" t="str">
        <f>기본사항!$C$2</f>
        <v>(재)한국여성재단</v>
      </c>
      <c r="B1" s="449"/>
      <c r="C1" s="449"/>
      <c r="D1" s="449"/>
      <c r="E1" s="450"/>
      <c r="F1" s="1253" t="s">
        <v>112</v>
      </c>
      <c r="G1" s="1254"/>
      <c r="H1" s="1253" t="s">
        <v>0</v>
      </c>
      <c r="I1" s="1254"/>
      <c r="J1" s="460" t="s">
        <v>1</v>
      </c>
    </row>
    <row r="2" spans="1:12" ht="15.75" customHeight="1">
      <c r="A2" s="448" t="str">
        <f>TableofContents!$D$8</f>
        <v>현금및현금성자산, 장단기금융상품</v>
      </c>
      <c r="B2" s="449"/>
      <c r="C2" s="449"/>
      <c r="D2" s="449"/>
      <c r="E2" s="450"/>
      <c r="F2" s="1255" t="str">
        <f>TableofContents!$B$8</f>
        <v>A</v>
      </c>
      <c r="G2" s="1256"/>
      <c r="H2" s="1259">
        <f>기본사항!$C$14</f>
        <v>40563</v>
      </c>
      <c r="I2" s="1260"/>
      <c r="J2" s="1263" t="str">
        <f>기본사항!$C$17</f>
        <v>Kbj</v>
      </c>
    </row>
    <row r="3" spans="1:12" ht="15.75" customHeight="1">
      <c r="A3" s="448" t="str">
        <f>기본사항!$C$9</f>
        <v>A : 12-31-2011</v>
      </c>
      <c r="B3" s="449"/>
      <c r="C3" s="449"/>
      <c r="D3" s="449"/>
      <c r="E3" s="450"/>
      <c r="F3" s="1257"/>
      <c r="G3" s="1258"/>
      <c r="H3" s="1261"/>
      <c r="I3" s="1262"/>
      <c r="J3" s="1264"/>
    </row>
    <row r="6" spans="1:12" ht="15.75" customHeight="1">
      <c r="D6" s="221">
        <f>기본사항!$C$11</f>
        <v>40543</v>
      </c>
      <c r="F6" s="447" t="s">
        <v>126</v>
      </c>
      <c r="G6" s="351"/>
      <c r="H6" s="447" t="s">
        <v>227</v>
      </c>
      <c r="J6" s="221">
        <f>기본사항!$C$12</f>
        <v>40908</v>
      </c>
    </row>
    <row r="7" spans="1:12" ht="15.75" customHeight="1">
      <c r="A7" s="230"/>
      <c r="B7" s="231" t="str">
        <f>FS_worksheet!C12</f>
        <v xml:space="preserve">      현              금</v>
      </c>
      <c r="C7" s="230"/>
      <c r="D7" s="230">
        <f>VLOOKUP($B7,FS_worksheet!$C$11:$H$116,3,FALSE)</f>
        <v>88920</v>
      </c>
      <c r="E7" s="230"/>
      <c r="F7" s="230">
        <f>H7+J7-D7</f>
        <v>96640</v>
      </c>
      <c r="G7" s="232"/>
      <c r="H7" s="230"/>
      <c r="I7" s="230"/>
      <c r="J7" s="230">
        <f>VLOOKUP($B7,FS_worksheet!$C$11:$H$116,5,FALSE)</f>
        <v>185560</v>
      </c>
      <c r="K7" s="233"/>
    </row>
    <row r="8" spans="1:12" s="233" customFormat="1" ht="15.75" customHeight="1">
      <c r="B8" s="234" t="str">
        <f>FS_worksheet!C13</f>
        <v xml:space="preserve">      제      예      금</v>
      </c>
      <c r="D8" s="233">
        <f>VLOOKUP($B8,FS_worksheet!$C$11:$H$116,3,FALSE)</f>
        <v>1279591534</v>
      </c>
      <c r="F8" s="233">
        <f t="shared" ref="F8:F11" si="0">H8+J8-D8</f>
        <v>-129231409</v>
      </c>
      <c r="G8" s="235"/>
      <c r="J8" s="233">
        <f>VLOOKUP($B8,FS_worksheet!$C$11:$H$116,5,FALSE)</f>
        <v>1150360125</v>
      </c>
    </row>
    <row r="9" spans="1:12" ht="15.75" customHeight="1">
      <c r="A9" s="230"/>
      <c r="B9" s="231" t="str">
        <f>FS_worksheet!C14</f>
        <v xml:space="preserve">      정   기  예. 적 금</v>
      </c>
      <c r="C9" s="230"/>
      <c r="D9" s="230">
        <f>VLOOKUP($B9,FS_worksheet!$C$11:$H$116,3,FALSE)</f>
        <v>5089941343</v>
      </c>
      <c r="E9" s="230"/>
      <c r="F9" s="230">
        <f t="shared" si="0"/>
        <v>126040067</v>
      </c>
      <c r="G9" s="232"/>
      <c r="H9" s="230"/>
      <c r="I9" s="230"/>
      <c r="J9" s="230">
        <f>VLOOKUP($B9,FS_worksheet!$C$11:$H$116,5,FALSE)</f>
        <v>5215981410</v>
      </c>
      <c r="K9" s="233"/>
    </row>
    <row r="10" spans="1:12" s="233" customFormat="1" ht="15.75" customHeight="1">
      <c r="B10" s="234" t="str">
        <f>FS_worksheet!C15</f>
        <v xml:space="preserve">      기타 단기금융 상품</v>
      </c>
      <c r="D10" s="233">
        <f>VLOOKUP($B10,FS_worksheet!$C$11:$H$116,3,FALSE)</f>
        <v>545304119</v>
      </c>
      <c r="F10" s="233">
        <f t="shared" si="0"/>
        <v>-1691119</v>
      </c>
      <c r="G10" s="235"/>
      <c r="J10" s="233">
        <f>VLOOKUP($B10,FS_worksheet!$C$11:$H$116,5,FALSE)</f>
        <v>543613000</v>
      </c>
    </row>
    <row r="11" spans="1:12" ht="15.75" customHeight="1">
      <c r="A11" s="230"/>
      <c r="B11" s="231" t="str">
        <f>FS_worksheet!C35</f>
        <v xml:space="preserve">      장  기  성  예  금</v>
      </c>
      <c r="C11" s="230"/>
      <c r="D11" s="230">
        <f>VLOOKUP($B11,FS_worksheet!$C$11:$H$116,3,FALSE)</f>
        <v>9652544</v>
      </c>
      <c r="E11" s="230"/>
      <c r="F11" s="230">
        <f t="shared" si="0"/>
        <v>6096348</v>
      </c>
      <c r="G11" s="232"/>
      <c r="H11" s="230"/>
      <c r="I11" s="230"/>
      <c r="J11" s="230">
        <f>VLOOKUP($B11,FS_worksheet!$C$11:$H$116,5,FALSE)</f>
        <v>15748892</v>
      </c>
      <c r="K11" s="233"/>
    </row>
    <row r="13" spans="1:12" ht="15.75" customHeight="1">
      <c r="F13" s="237"/>
    </row>
    <row r="14" spans="1:12" ht="15.75" customHeight="1">
      <c r="A14" s="222" t="s">
        <v>722</v>
      </c>
    </row>
    <row r="15" spans="1:12" s="225" customFormat="1" ht="15.75" customHeight="1">
      <c r="A15" s="224" t="s">
        <v>756</v>
      </c>
      <c r="B15" s="225" t="s">
        <v>763</v>
      </c>
    </row>
    <row r="16" spans="1:12" s="225" customFormat="1" ht="15.75" customHeight="1"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</row>
    <row r="17" spans="1:12" s="225" customFormat="1" ht="15.75" customHeight="1"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</row>
    <row r="18" spans="1:12" s="225" customFormat="1" ht="15.75" customHeight="1">
      <c r="A18" s="228" t="s">
        <v>723</v>
      </c>
    </row>
    <row r="19" spans="1:12" s="225" customFormat="1" ht="15.75" customHeight="1">
      <c r="A19" s="224" t="s">
        <v>756</v>
      </c>
      <c r="B19" s="225" t="s">
        <v>764</v>
      </c>
    </row>
    <row r="20" spans="1:12" s="225" customFormat="1" ht="15.75" customHeight="1">
      <c r="A20" s="224"/>
      <c r="B20" s="224" t="s">
        <v>986</v>
      </c>
    </row>
    <row r="21" spans="1:12" s="225" customFormat="1" ht="15.75" customHeight="1">
      <c r="A21" s="224" t="s">
        <v>757</v>
      </c>
      <c r="B21" s="225" t="s">
        <v>765</v>
      </c>
    </row>
    <row r="22" spans="1:12" s="225" customFormat="1" ht="15.75" customHeight="1">
      <c r="A22" s="224" t="s">
        <v>758</v>
      </c>
      <c r="B22" s="225" t="s">
        <v>766</v>
      </c>
    </row>
    <row r="23" spans="1:12" s="225" customFormat="1" ht="15.75" customHeight="1">
      <c r="A23" s="224" t="s">
        <v>759</v>
      </c>
      <c r="B23" s="225" t="s">
        <v>767</v>
      </c>
    </row>
    <row r="24" spans="1:12" s="225" customFormat="1" ht="15.75" customHeight="1">
      <c r="A24" s="224" t="s">
        <v>760</v>
      </c>
      <c r="B24" s="225" t="s">
        <v>768</v>
      </c>
    </row>
    <row r="25" spans="1:12" s="225" customFormat="1" ht="15.75" customHeight="1">
      <c r="A25" s="224"/>
    </row>
    <row r="26" spans="1:12" s="225" customFormat="1" ht="15.75" customHeight="1"/>
    <row r="27" spans="1:12" s="225" customFormat="1" ht="15.75" customHeight="1">
      <c r="A27" s="228" t="s">
        <v>248</v>
      </c>
    </row>
    <row r="28" spans="1:12" s="225" customFormat="1" ht="15.75" customHeight="1"/>
    <row r="29" spans="1:12" s="225" customFormat="1" ht="15.75" customHeight="1"/>
    <row r="30" spans="1:12" s="225" customFormat="1" ht="15.75" customHeight="1">
      <c r="A30" s="228" t="s">
        <v>762</v>
      </c>
    </row>
    <row r="31" spans="1:12" s="229" customFormat="1" ht="15.75" customHeight="1">
      <c r="A31" s="253" t="s">
        <v>761</v>
      </c>
      <c r="B31" s="225"/>
      <c r="C31" s="225"/>
      <c r="D31" s="225"/>
      <c r="E31" s="225"/>
      <c r="F31" s="225"/>
      <c r="G31" s="225"/>
      <c r="H31" s="225"/>
      <c r="I31" s="225"/>
      <c r="J31" s="225"/>
    </row>
    <row r="32" spans="1:12" s="225" customFormat="1" ht="15.75" customHeight="1">
      <c r="A32" s="264"/>
      <c r="B32" s="225" t="s">
        <v>754</v>
      </c>
      <c r="F32" s="225" t="s">
        <v>755</v>
      </c>
    </row>
    <row r="33" spans="1:10" s="225" customFormat="1" ht="15.75" customHeight="1">
      <c r="A33" s="264"/>
    </row>
    <row r="34" spans="1:10" s="229" customFormat="1" ht="15.75" customHeight="1">
      <c r="A34" s="253"/>
      <c r="B34" s="225"/>
      <c r="C34" s="225"/>
      <c r="D34" s="225"/>
      <c r="E34" s="225"/>
      <c r="F34" s="225"/>
      <c r="G34" s="225"/>
      <c r="H34" s="225"/>
      <c r="I34" s="225"/>
      <c r="J34" s="225"/>
    </row>
    <row r="35" spans="1:10" s="225" customFormat="1" ht="15.75" customHeight="1">
      <c r="A35" s="264"/>
    </row>
    <row r="36" spans="1:10" s="225" customFormat="1" ht="15.75" customHeight="1">
      <c r="A36" s="264"/>
    </row>
    <row r="37" spans="1:10" s="229" customFormat="1" ht="15.75" customHeight="1">
      <c r="A37" s="253"/>
      <c r="B37" s="225"/>
      <c r="C37" s="225"/>
      <c r="D37" s="225"/>
      <c r="E37" s="225"/>
      <c r="F37" s="225"/>
      <c r="G37" s="225"/>
      <c r="H37" s="225"/>
      <c r="I37" s="225"/>
      <c r="J37" s="225"/>
    </row>
    <row r="38" spans="1:10" s="225" customFormat="1" ht="15.75" customHeight="1"/>
    <row r="39" spans="1:10" s="225" customFormat="1" ht="15.75" customHeight="1"/>
    <row r="40" spans="1:10" s="225" customFormat="1" ht="15.75" customHeight="1"/>
    <row r="41" spans="1:10" s="225" customFormat="1" ht="15.75" customHeight="1"/>
    <row r="42" spans="1:10" s="225" customFormat="1" ht="15.75" customHeight="1"/>
    <row r="43" spans="1:10" s="225" customFormat="1" ht="15.75" customHeight="1"/>
    <row r="44" spans="1:10" s="225" customFormat="1" ht="15.75" customHeight="1"/>
    <row r="45" spans="1:10" s="225" customFormat="1" ht="15.75" customHeight="1"/>
    <row r="46" spans="1:10" s="225" customFormat="1" ht="15.75" customHeight="1"/>
    <row r="47" spans="1:10" s="225" customFormat="1" ht="15.75" customHeight="1"/>
    <row r="48" spans="1:10" s="225" customFormat="1" ht="15.75" customHeight="1"/>
  </sheetData>
  <mergeCells count="5">
    <mergeCell ref="F1:G1"/>
    <mergeCell ref="F2:G3"/>
    <mergeCell ref="J2:J3"/>
    <mergeCell ref="H1:I1"/>
    <mergeCell ref="H2:I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9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7">
    <tabColor rgb="FFFF0000"/>
  </sheetPr>
  <dimension ref="A1:P118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TableofContents!$D$9</f>
        <v>유가증권(유동,비유동,지분법 포함)</v>
      </c>
      <c r="B2" s="449"/>
      <c r="C2" s="449"/>
      <c r="D2" s="449"/>
      <c r="E2" s="449"/>
      <c r="F2" s="449"/>
      <c r="G2" s="450"/>
      <c r="H2" s="1255" t="str">
        <f>"DIR - "&amp;TableofContents!$B$9</f>
        <v>DIR - B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1392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1306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4" t="s">
        <v>1394</v>
      </c>
      <c r="N19" s="247" t="s">
        <v>1307</v>
      </c>
    </row>
    <row r="20" spans="1:14" s="225" customFormat="1" ht="15.75" customHeight="1">
      <c r="D20" s="471" t="s">
        <v>1395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B22" s="224" t="s">
        <v>1070</v>
      </c>
      <c r="C22" s="224" t="s">
        <v>1396</v>
      </c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47" t="s">
        <v>1309</v>
      </c>
    </row>
    <row r="23" spans="1:14" s="225" customFormat="1" ht="15.75" customHeight="1">
      <c r="A23" s="224"/>
      <c r="B23" s="224"/>
      <c r="C23" s="224"/>
      <c r="D23" s="224" t="s">
        <v>1397</v>
      </c>
    </row>
    <row r="24" spans="1:14" s="225" customFormat="1" ht="15.75" customHeight="1">
      <c r="A24" s="224"/>
      <c r="B24" s="224"/>
      <c r="C24" s="224"/>
      <c r="D24" s="224" t="s">
        <v>1398</v>
      </c>
    </row>
    <row r="25" spans="1:14" s="225" customFormat="1" ht="15.75" customHeight="1">
      <c r="A25" s="224"/>
      <c r="B25" s="224"/>
      <c r="C25" s="224"/>
      <c r="D25" s="224"/>
    </row>
    <row r="26" spans="1:14" s="225" customFormat="1" ht="15.75" customHeight="1">
      <c r="A26" s="224"/>
      <c r="B26" s="224" t="s">
        <v>1332</v>
      </c>
      <c r="C26" s="224" t="s">
        <v>1399</v>
      </c>
      <c r="D26" s="224"/>
      <c r="N26" s="247" t="s">
        <v>1401</v>
      </c>
    </row>
    <row r="27" spans="1:14" s="225" customFormat="1" ht="15.75" customHeight="1">
      <c r="A27" s="224"/>
      <c r="B27" s="224"/>
      <c r="C27" s="224"/>
      <c r="D27" s="224" t="s">
        <v>1400</v>
      </c>
    </row>
    <row r="28" spans="1:14" s="225" customFormat="1" ht="15.75" customHeight="1">
      <c r="A28" s="224"/>
      <c r="B28" s="224"/>
      <c r="C28" s="224"/>
      <c r="D28" s="224"/>
      <c r="N28" s="247"/>
    </row>
    <row r="29" spans="1:14" s="225" customFormat="1" ht="15.75" customHeight="1">
      <c r="A29" s="224"/>
      <c r="B29" s="224" t="s">
        <v>1360</v>
      </c>
      <c r="C29" s="224" t="s">
        <v>1402</v>
      </c>
      <c r="D29" s="224"/>
      <c r="N29" s="247" t="s">
        <v>1311</v>
      </c>
    </row>
    <row r="30" spans="1:14" s="225" customFormat="1" ht="15.75" customHeight="1">
      <c r="A30" s="224"/>
      <c r="B30" s="224"/>
      <c r="C30" s="224"/>
      <c r="D30" s="472" t="s">
        <v>1405</v>
      </c>
    </row>
    <row r="31" spans="1:14" s="225" customFormat="1" ht="15.75" customHeight="1">
      <c r="A31" s="224"/>
      <c r="B31" s="224"/>
      <c r="C31" s="224"/>
      <c r="D31" s="472" t="s">
        <v>1406</v>
      </c>
      <c r="N31" s="247"/>
    </row>
    <row r="32" spans="1:14" s="225" customFormat="1" ht="15.75" customHeight="1">
      <c r="A32" s="224"/>
      <c r="B32" s="224"/>
      <c r="C32" s="224"/>
      <c r="D32" s="472" t="s">
        <v>1403</v>
      </c>
      <c r="N32" s="247"/>
    </row>
    <row r="33" spans="1:14" s="225" customFormat="1" ht="15.75" customHeight="1">
      <c r="A33" s="224"/>
      <c r="B33" s="224"/>
      <c r="C33" s="224"/>
      <c r="D33" s="472" t="s">
        <v>1404</v>
      </c>
      <c r="N33" s="247"/>
    </row>
    <row r="34" spans="1:14" s="225" customFormat="1" ht="15.75" customHeight="1">
      <c r="A34" s="224"/>
      <c r="B34" s="224"/>
      <c r="C34" s="224"/>
      <c r="D34" s="472" t="s">
        <v>1407</v>
      </c>
      <c r="N34" s="247"/>
    </row>
    <row r="35" spans="1:14" s="225" customFormat="1" ht="15.75" customHeight="1">
      <c r="D35" s="224" t="s">
        <v>1408</v>
      </c>
      <c r="N35" s="247"/>
    </row>
    <row r="36" spans="1:14" s="225" customFormat="1" ht="15.75" customHeight="1">
      <c r="D36" s="224"/>
      <c r="N36" s="247"/>
    </row>
    <row r="37" spans="1:14" s="225" customFormat="1" ht="15.75" customHeight="1">
      <c r="B37" s="253" t="s">
        <v>1371</v>
      </c>
      <c r="C37" s="224" t="s">
        <v>1409</v>
      </c>
      <c r="D37" s="224"/>
      <c r="N37" s="247" t="s">
        <v>1311</v>
      </c>
    </row>
    <row r="38" spans="1:14" s="225" customFormat="1" ht="15.75" customHeight="1">
      <c r="D38" s="472" t="s">
        <v>1410</v>
      </c>
      <c r="N38" s="247"/>
    </row>
    <row r="39" spans="1:14" s="225" customFormat="1" ht="15.75" customHeight="1">
      <c r="D39" s="472" t="s">
        <v>1411</v>
      </c>
      <c r="N39" s="247"/>
    </row>
    <row r="40" spans="1:14" s="225" customFormat="1" ht="15.75" customHeight="1">
      <c r="D40" s="224"/>
      <c r="N40" s="247"/>
    </row>
    <row r="41" spans="1:14" s="225" customFormat="1" ht="15.75" customHeight="1">
      <c r="B41" s="253" t="s">
        <v>1375</v>
      </c>
      <c r="C41" s="224" t="s">
        <v>1412</v>
      </c>
      <c r="D41" s="224"/>
      <c r="N41" s="247" t="s">
        <v>1414</v>
      </c>
    </row>
    <row r="42" spans="1:14" s="225" customFormat="1" ht="15.75" customHeight="1">
      <c r="D42" s="224" t="s">
        <v>1413</v>
      </c>
    </row>
    <row r="43" spans="1:14" s="225" customFormat="1" ht="15.75" customHeight="1">
      <c r="D43" s="472" t="s">
        <v>1416</v>
      </c>
      <c r="N43" s="247"/>
    </row>
    <row r="44" spans="1:14" s="225" customFormat="1" ht="15.75" customHeight="1">
      <c r="D44" s="224" t="s">
        <v>1415</v>
      </c>
      <c r="N44" s="247"/>
    </row>
    <row r="45" spans="1:14" s="225" customFormat="1" ht="15.75" customHeight="1">
      <c r="D45" s="472" t="s">
        <v>1417</v>
      </c>
      <c r="N45" s="247"/>
    </row>
    <row r="46" spans="1:14" s="225" customFormat="1" ht="15.75" customHeight="1">
      <c r="D46" s="472" t="s">
        <v>1418</v>
      </c>
      <c r="N46" s="247"/>
    </row>
    <row r="47" spans="1:14" s="225" customFormat="1" ht="15.75" customHeight="1">
      <c r="D47" s="472" t="s">
        <v>1419</v>
      </c>
      <c r="N47" s="247"/>
    </row>
    <row r="48" spans="1:14" s="225" customFormat="1" ht="15.75" customHeight="1">
      <c r="D48" s="472" t="s">
        <v>1420</v>
      </c>
      <c r="N48" s="247"/>
    </row>
    <row r="49" spans="2:14" s="225" customFormat="1" ht="15.75" customHeight="1">
      <c r="D49" s="224" t="s">
        <v>1421</v>
      </c>
      <c r="N49" s="247"/>
    </row>
    <row r="50" spans="2:14" s="225" customFormat="1" ht="15.75" customHeight="1">
      <c r="D50" s="224"/>
      <c r="N50" s="247"/>
    </row>
    <row r="51" spans="2:14" s="225" customFormat="1" ht="15.75" customHeight="1">
      <c r="B51" s="224" t="s">
        <v>1376</v>
      </c>
      <c r="C51" s="224" t="s">
        <v>1422</v>
      </c>
      <c r="D51" s="224"/>
      <c r="N51" s="247" t="s">
        <v>1414</v>
      </c>
    </row>
    <row r="52" spans="2:14" s="225" customFormat="1" ht="15.75" customHeight="1">
      <c r="D52" s="472" t="s">
        <v>1424</v>
      </c>
      <c r="N52" s="475"/>
    </row>
    <row r="53" spans="2:14" s="225" customFormat="1" ht="15.75" customHeight="1">
      <c r="D53" s="472" t="s">
        <v>1425</v>
      </c>
      <c r="N53" s="475"/>
    </row>
    <row r="54" spans="2:14" s="225" customFormat="1" ht="15.75" customHeight="1">
      <c r="D54" s="472" t="s">
        <v>1426</v>
      </c>
      <c r="N54" s="475"/>
    </row>
    <row r="55" spans="2:14" s="225" customFormat="1" ht="15.75" customHeight="1">
      <c r="D55" s="224" t="s">
        <v>1423</v>
      </c>
      <c r="N55" s="475"/>
    </row>
    <row r="56" spans="2:14" s="225" customFormat="1" ht="15.75" customHeight="1">
      <c r="D56" s="472" t="s">
        <v>1427</v>
      </c>
      <c r="N56" s="475"/>
    </row>
    <row r="57" spans="2:14" s="225" customFormat="1" ht="15.75" customHeight="1">
      <c r="D57" s="224"/>
      <c r="N57" s="475"/>
    </row>
    <row r="58" spans="2:14" s="225" customFormat="1" ht="15.75" customHeight="1">
      <c r="B58" s="224" t="s">
        <v>1379</v>
      </c>
      <c r="C58" s="224" t="s">
        <v>1428</v>
      </c>
      <c r="D58" s="224"/>
      <c r="N58" s="247" t="s">
        <v>1313</v>
      </c>
    </row>
    <row r="59" spans="2:14" s="225" customFormat="1" ht="15.75" customHeight="1">
      <c r="D59" s="472" t="s">
        <v>1439</v>
      </c>
      <c r="N59" s="247"/>
    </row>
    <row r="60" spans="2:14" s="225" customFormat="1" ht="15.75" customHeight="1">
      <c r="D60" s="472" t="s">
        <v>1440</v>
      </c>
      <c r="N60" s="247"/>
    </row>
    <row r="61" spans="2:14" s="225" customFormat="1" ht="15.75" customHeight="1">
      <c r="D61" s="472" t="s">
        <v>1441</v>
      </c>
      <c r="N61" s="247"/>
    </row>
    <row r="62" spans="2:14" s="225" customFormat="1" ht="15.75" customHeight="1">
      <c r="D62" s="224"/>
      <c r="N62" s="247"/>
    </row>
    <row r="63" spans="2:14" s="225" customFormat="1" ht="15.75" customHeight="1">
      <c r="B63" s="224" t="s">
        <v>1381</v>
      </c>
      <c r="C63" s="224" t="s">
        <v>1431</v>
      </c>
      <c r="D63" s="224"/>
      <c r="N63" s="247" t="s">
        <v>1313</v>
      </c>
    </row>
    <row r="64" spans="2:14" s="225" customFormat="1" ht="15.75" customHeight="1">
      <c r="D64" s="472" t="s">
        <v>1442</v>
      </c>
      <c r="N64" s="247"/>
    </row>
    <row r="65" spans="2:14" s="225" customFormat="1" ht="15.75" customHeight="1">
      <c r="D65" s="472" t="s">
        <v>1443</v>
      </c>
      <c r="N65" s="247"/>
    </row>
    <row r="66" spans="2:14" s="225" customFormat="1" ht="15.75" customHeight="1">
      <c r="D66" s="224"/>
      <c r="N66" s="247"/>
    </row>
    <row r="67" spans="2:14" s="225" customFormat="1" ht="15.75" customHeight="1">
      <c r="B67" s="224" t="s">
        <v>1383</v>
      </c>
      <c r="C67" s="224" t="s">
        <v>1432</v>
      </c>
      <c r="D67" s="224"/>
      <c r="N67" s="247" t="s">
        <v>1429</v>
      </c>
    </row>
    <row r="68" spans="2:14" s="225" customFormat="1" ht="15.75" customHeight="1">
      <c r="C68" s="224"/>
      <c r="D68" s="224"/>
      <c r="N68" s="247"/>
    </row>
    <row r="69" spans="2:14" s="225" customFormat="1" ht="15.75" customHeight="1">
      <c r="B69" s="224" t="s">
        <v>1384</v>
      </c>
      <c r="C69" s="224" t="s">
        <v>1433</v>
      </c>
      <c r="D69" s="224"/>
      <c r="N69" s="247" t="s">
        <v>1429</v>
      </c>
    </row>
    <row r="70" spans="2:14" s="225" customFormat="1" ht="15.75" customHeight="1">
      <c r="D70" s="224"/>
      <c r="N70" s="247"/>
    </row>
    <row r="71" spans="2:14" s="225" customFormat="1" ht="15.75" customHeight="1">
      <c r="B71" s="224" t="s">
        <v>1390</v>
      </c>
      <c r="C71" s="224" t="s">
        <v>1434</v>
      </c>
      <c r="D71" s="224"/>
      <c r="N71" s="247" t="s">
        <v>1430</v>
      </c>
    </row>
    <row r="72" spans="2:14" s="225" customFormat="1" ht="15.75" customHeight="1">
      <c r="C72" s="224"/>
      <c r="D72" s="224"/>
      <c r="N72" s="247"/>
    </row>
    <row r="73" spans="2:14" s="225" customFormat="1" ht="15.75" customHeight="1">
      <c r="B73" s="224" t="s">
        <v>1435</v>
      </c>
      <c r="C73" s="224" t="s">
        <v>1436</v>
      </c>
      <c r="D73" s="224"/>
      <c r="N73" s="247" t="s">
        <v>1310</v>
      </c>
    </row>
    <row r="74" spans="2:14" s="225" customFormat="1" ht="15.75" customHeight="1">
      <c r="D74" s="224"/>
      <c r="N74" s="247"/>
    </row>
    <row r="75" spans="2:14" s="225" customFormat="1" ht="15.75" customHeight="1">
      <c r="B75" s="224" t="s">
        <v>1437</v>
      </c>
      <c r="C75" s="224" t="s">
        <v>1438</v>
      </c>
      <c r="D75" s="224"/>
      <c r="N75" s="247" t="s">
        <v>1311</v>
      </c>
    </row>
    <row r="76" spans="2:14" s="225" customFormat="1" ht="15.75" customHeight="1">
      <c r="D76" s="472" t="s">
        <v>1445</v>
      </c>
    </row>
    <row r="77" spans="2:14" s="225" customFormat="1" ht="15.75" customHeight="1">
      <c r="D77" s="472" t="s">
        <v>1446</v>
      </c>
    </row>
    <row r="78" spans="2:14" s="225" customFormat="1" ht="15.75" customHeight="1">
      <c r="D78" s="472" t="s">
        <v>1447</v>
      </c>
    </row>
    <row r="79" spans="2:14" s="225" customFormat="1" ht="15.75" customHeight="1">
      <c r="D79" s="472" t="s">
        <v>1448</v>
      </c>
    </row>
    <row r="80" spans="2:14" s="225" customFormat="1" ht="15.75" customHeight="1">
      <c r="C80" s="224"/>
      <c r="D80" s="472" t="s">
        <v>1449</v>
      </c>
    </row>
    <row r="81" spans="1:14" s="225" customFormat="1" ht="15.75" customHeight="1">
      <c r="D81" s="472" t="s">
        <v>1450</v>
      </c>
    </row>
    <row r="82" spans="1:14" s="225" customFormat="1" ht="15.75" customHeight="1">
      <c r="C82" s="224"/>
      <c r="D82" s="472" t="s">
        <v>1451</v>
      </c>
    </row>
    <row r="83" spans="1:14" s="225" customFormat="1" ht="15.75" customHeight="1">
      <c r="D83" s="472" t="s">
        <v>1452</v>
      </c>
    </row>
    <row r="84" spans="1:14" s="225" customFormat="1" ht="15.75" customHeight="1">
      <c r="B84" s="224"/>
      <c r="D84" s="472" t="s">
        <v>1453</v>
      </c>
      <c r="N84" s="247"/>
    </row>
    <row r="85" spans="1:14" s="225" customFormat="1" ht="15.75" customHeight="1">
      <c r="A85" s="228"/>
      <c r="B85" s="228"/>
      <c r="C85" s="228"/>
      <c r="D85" s="225" t="s">
        <v>1454</v>
      </c>
    </row>
    <row r="86" spans="1:14" s="225" customFormat="1" ht="15.75" customHeight="1">
      <c r="C86" s="224"/>
      <c r="D86" s="472" t="s">
        <v>1455</v>
      </c>
    </row>
    <row r="87" spans="1:14" s="225" customFormat="1" ht="15.75" customHeight="1">
      <c r="D87" s="472" t="s">
        <v>1456</v>
      </c>
    </row>
    <row r="88" spans="1:14" s="225" customFormat="1" ht="15.75" customHeight="1">
      <c r="A88" s="228"/>
      <c r="B88" s="228"/>
      <c r="C88" s="228"/>
      <c r="D88" s="225" t="s">
        <v>1457</v>
      </c>
    </row>
    <row r="89" spans="1:14" s="229" customFormat="1" ht="15.75" customHeight="1">
      <c r="A89" s="253"/>
      <c r="B89" s="253"/>
      <c r="C89" s="224"/>
      <c r="D89" s="224"/>
      <c r="E89" s="225"/>
      <c r="F89" s="225"/>
      <c r="G89" s="225"/>
      <c r="H89" s="225"/>
      <c r="I89" s="225"/>
      <c r="J89" s="225"/>
      <c r="K89" s="225"/>
      <c r="L89" s="225"/>
    </row>
    <row r="90" spans="1:14" s="225" customFormat="1" ht="15.75" customHeight="1">
      <c r="A90" s="264"/>
      <c r="B90" s="224" t="s">
        <v>1444</v>
      </c>
      <c r="C90" s="224" t="s">
        <v>1391</v>
      </c>
      <c r="D90" s="224"/>
    </row>
    <row r="91" spans="1:14" s="225" customFormat="1" ht="15.75" customHeight="1">
      <c r="A91" s="264"/>
      <c r="B91" s="264"/>
    </row>
    <row r="92" spans="1:14" s="225" customFormat="1" ht="15.75" customHeight="1">
      <c r="A92" s="264"/>
      <c r="B92" s="264"/>
      <c r="C92" s="224"/>
      <c r="D92" s="224"/>
    </row>
    <row r="93" spans="1:14" s="225" customFormat="1" ht="15.75" customHeight="1">
      <c r="A93" s="264"/>
      <c r="B93" s="264"/>
      <c r="D93" s="224"/>
    </row>
    <row r="94" spans="1:14" s="225" customFormat="1" ht="15.75" customHeight="1">
      <c r="A94" s="264"/>
      <c r="B94" s="264"/>
    </row>
    <row r="95" spans="1:14" s="225" customFormat="1" ht="15.75" customHeight="1">
      <c r="A95" s="264"/>
      <c r="B95" s="264"/>
      <c r="C95" s="224"/>
      <c r="D95" s="224"/>
    </row>
    <row r="96" spans="1:14" s="225" customFormat="1" ht="15.75" customHeight="1">
      <c r="A96" s="264"/>
      <c r="B96" s="264"/>
    </row>
    <row r="97" spans="1:14" s="225" customFormat="1" ht="15.75" customHeight="1">
      <c r="A97" s="264"/>
      <c r="B97" s="264"/>
      <c r="C97" s="224"/>
      <c r="D97" s="224"/>
    </row>
    <row r="98" spans="1:14" s="225" customFormat="1" ht="15.75" customHeight="1">
      <c r="A98" s="264"/>
      <c r="B98" s="264"/>
    </row>
    <row r="99" spans="1:14" s="225" customFormat="1" ht="15.75" customHeight="1">
      <c r="A99" s="264"/>
      <c r="B99" s="253"/>
      <c r="N99" s="247"/>
    </row>
    <row r="100" spans="1:14" s="225" customFormat="1" ht="15.75" customHeight="1">
      <c r="A100" s="264"/>
      <c r="B100" s="264"/>
    </row>
    <row r="101" spans="1:14" s="225" customFormat="1" ht="15.75" customHeight="1">
      <c r="A101" s="264"/>
      <c r="B101" s="253"/>
      <c r="C101" s="224"/>
      <c r="N101" s="247"/>
    </row>
    <row r="102" spans="1:14" s="225" customFormat="1" ht="15.75" customHeight="1">
      <c r="A102" s="264"/>
      <c r="B102" s="264"/>
    </row>
    <row r="103" spans="1:14" s="225" customFormat="1" ht="15.75" customHeight="1">
      <c r="A103" s="264"/>
      <c r="B103" s="253"/>
      <c r="C103" s="224"/>
      <c r="N103" s="247"/>
    </row>
    <row r="104" spans="1:14" s="225" customFormat="1" ht="15.75" customHeight="1">
      <c r="A104" s="264"/>
      <c r="B104" s="264"/>
      <c r="D104" s="224"/>
    </row>
    <row r="105" spans="1:14" s="225" customFormat="1" ht="15.75" customHeight="1">
      <c r="A105" s="264"/>
      <c r="B105" s="264"/>
      <c r="D105" s="224"/>
    </row>
    <row r="106" spans="1:14" s="225" customFormat="1" ht="15.75" customHeight="1">
      <c r="A106" s="264"/>
      <c r="B106" s="264"/>
    </row>
    <row r="107" spans="1:14" s="225" customFormat="1" ht="15.75" customHeight="1">
      <c r="A107" s="264"/>
      <c r="B107" s="253"/>
      <c r="C107" s="224"/>
      <c r="N107" s="247"/>
    </row>
    <row r="108" spans="1:14" s="225" customFormat="1" ht="15.75" customHeight="1">
      <c r="A108" s="264"/>
      <c r="B108" s="264"/>
    </row>
    <row r="109" spans="1:14" s="225" customFormat="1" ht="15.75" customHeight="1">
      <c r="B109" s="224"/>
      <c r="C109" s="224"/>
      <c r="N109" s="247"/>
    </row>
    <row r="110" spans="1:14" s="225" customFormat="1" ht="15.75" customHeight="1"/>
    <row r="111" spans="1:14" s="225" customFormat="1" ht="15.75" customHeight="1">
      <c r="B111" s="224"/>
      <c r="C111" s="224"/>
      <c r="N111" s="247"/>
    </row>
    <row r="112" spans="1:14" s="225" customFormat="1" ht="15.75" customHeight="1"/>
    <row r="113" spans="2:14" s="225" customFormat="1" ht="15.75" customHeight="1">
      <c r="B113" s="224"/>
      <c r="C113" s="227"/>
      <c r="N113" s="252"/>
    </row>
    <row r="114" spans="2:14" s="225" customFormat="1" ht="15.75" customHeight="1">
      <c r="D114" s="223"/>
    </row>
    <row r="115" spans="2:14" s="225" customFormat="1" ht="15.75" customHeight="1">
      <c r="D115" s="223"/>
    </row>
    <row r="116" spans="2:14" s="225" customFormat="1" ht="15.75" customHeight="1">
      <c r="D116" s="223"/>
    </row>
    <row r="117" spans="2:14" s="225" customFormat="1" ht="15.75" customHeight="1"/>
    <row r="118" spans="2:14" s="225" customFormat="1" ht="15.75" customHeight="1">
      <c r="B118" s="224"/>
      <c r="C118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8">
    <tabColor rgb="FF00B050"/>
  </sheetPr>
  <dimension ref="A1:P54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20" style="223" customWidth="1"/>
    <col min="17" max="16384" width="9" style="223"/>
  </cols>
  <sheetData>
    <row r="1" spans="1:14" ht="15.75" customHeight="1">
      <c r="A1" s="375" t="str">
        <f>기본사항!$C$2</f>
        <v>(재)한국여성재단</v>
      </c>
      <c r="B1" s="446"/>
      <c r="C1" s="446"/>
      <c r="D1" s="446"/>
      <c r="E1" s="446"/>
      <c r="F1" s="1253" t="s">
        <v>112</v>
      </c>
      <c r="G1" s="1266"/>
      <c r="H1" s="1253" t="s">
        <v>0</v>
      </c>
      <c r="I1" s="1254"/>
      <c r="J1" s="374" t="s">
        <v>1</v>
      </c>
    </row>
    <row r="2" spans="1:14" ht="15.75" customHeight="1">
      <c r="A2" s="375" t="str">
        <f>TableofContents!$D$9</f>
        <v>유가증권(유동,비유동,지분법 포함)</v>
      </c>
      <c r="B2" s="446"/>
      <c r="C2" s="446"/>
      <c r="D2" s="446"/>
      <c r="E2" s="446"/>
      <c r="F2" s="1255" t="str">
        <f>TableofContents!$B$9</f>
        <v>B</v>
      </c>
      <c r="G2" s="1267"/>
      <c r="H2" s="1259">
        <f>기본사항!$C$14</f>
        <v>40563</v>
      </c>
      <c r="I2" s="1260"/>
      <c r="J2" s="1263" t="str">
        <f>기본사항!$C$17</f>
        <v>Kbj</v>
      </c>
    </row>
    <row r="3" spans="1:14" ht="15.75" customHeight="1">
      <c r="A3" s="375" t="str">
        <f>기본사항!$C$9</f>
        <v>A : 12-31-2011</v>
      </c>
      <c r="B3" s="446"/>
      <c r="C3" s="446"/>
      <c r="D3" s="446"/>
      <c r="E3" s="446"/>
      <c r="F3" s="1268"/>
      <c r="G3" s="1269"/>
      <c r="H3" s="1261"/>
      <c r="I3" s="1262"/>
      <c r="J3" s="1270"/>
    </row>
    <row r="6" spans="1:14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4" s="233" customFormat="1" ht="15.75" customHeight="1">
      <c r="A7" s="230"/>
      <c r="B7" s="231" t="s">
        <v>230</v>
      </c>
      <c r="C7" s="230"/>
      <c r="D7" s="230" t="e">
        <f>VLOOKUP($B7,FS_worksheet!$C$11:$H$116,3,FALSE)</f>
        <v>#N/A</v>
      </c>
      <c r="E7" s="230"/>
      <c r="F7" s="230" t="e">
        <f>H7+J7-D7</f>
        <v>#N/A</v>
      </c>
      <c r="G7" s="232"/>
      <c r="H7" s="230"/>
      <c r="I7" s="230"/>
      <c r="J7" s="230" t="e">
        <f>VLOOKUP($B7,FS_worksheet!$C$11:$H$116,5,FALSE)</f>
        <v>#N/A</v>
      </c>
    </row>
    <row r="8" spans="1:14" ht="15.75" customHeight="1">
      <c r="A8" s="233"/>
      <c r="B8" s="234" t="s">
        <v>231</v>
      </c>
      <c r="C8" s="233"/>
      <c r="D8" s="233" t="e">
        <f>VLOOKUP($B8,FS_worksheet!$C$11:$H$116,3,FALSE)</f>
        <v>#N/A</v>
      </c>
      <c r="E8" s="233"/>
      <c r="F8" s="233" t="e">
        <f>H8+J8-D8</f>
        <v>#N/A</v>
      </c>
      <c r="G8" s="235"/>
      <c r="H8" s="233"/>
      <c r="I8" s="233"/>
      <c r="J8" s="233" t="e">
        <f>VLOOKUP($B8,FS_worksheet!$C$11:$H$116,5,FALSE)</f>
        <v>#N/A</v>
      </c>
    </row>
    <row r="9" spans="1:14" s="233" customFormat="1" ht="15.75" customHeight="1">
      <c r="A9" s="230"/>
      <c r="B9" s="231" t="e">
        <f>FS_worksheet!C41</f>
        <v>#REF!</v>
      </c>
      <c r="C9" s="230"/>
      <c r="D9" s="230" t="e">
        <f>VLOOKUP($B9,FS_worksheet!$C$11:$H$116,3,FALSE)</f>
        <v>#REF!</v>
      </c>
      <c r="E9" s="230"/>
      <c r="F9" s="230" t="e">
        <f>H9+J9-D9</f>
        <v>#REF!</v>
      </c>
      <c r="G9" s="232"/>
      <c r="H9" s="230"/>
      <c r="I9" s="230"/>
      <c r="J9" s="230" t="e">
        <f>VLOOKUP($B9,FS_worksheet!$C$11:$H$116,5,FALSE)</f>
        <v>#REF!</v>
      </c>
    </row>
    <row r="10" spans="1:14" ht="15.75" customHeight="1">
      <c r="A10" s="233"/>
      <c r="B10" s="234" t="e">
        <f>FS_worksheet!C43</f>
        <v>#REF!</v>
      </c>
      <c r="C10" s="233"/>
      <c r="D10" s="233" t="e">
        <f>VLOOKUP($B10,FS_worksheet!$C$11:$H$116,3,FALSE)</f>
        <v>#REF!</v>
      </c>
      <c r="E10" s="233"/>
      <c r="F10" s="233" t="e">
        <f>H10+J10-D10</f>
        <v>#REF!</v>
      </c>
      <c r="G10" s="235"/>
      <c r="H10" s="233"/>
      <c r="I10" s="233"/>
      <c r="J10" s="233" t="e">
        <f>VLOOKUP($B10,FS_worksheet!$C$11:$H$116,5,FALSE)</f>
        <v>#REF!</v>
      </c>
    </row>
    <row r="13" spans="1:14" ht="15.75" customHeight="1">
      <c r="A13" s="222" t="s">
        <v>124</v>
      </c>
    </row>
    <row r="14" spans="1:14" ht="15.75" customHeight="1">
      <c r="A14" s="227" t="s">
        <v>42</v>
      </c>
      <c r="B14" s="223" t="s">
        <v>769</v>
      </c>
      <c r="N14" s="225"/>
    </row>
    <row r="15" spans="1:14" ht="15.75" customHeight="1">
      <c r="A15" s="227" t="s">
        <v>232</v>
      </c>
      <c r="B15" s="223" t="s">
        <v>770</v>
      </c>
      <c r="N15" s="225"/>
    </row>
    <row r="16" spans="1:14" ht="15.75" customHeight="1">
      <c r="B16" s="223" t="s">
        <v>987</v>
      </c>
      <c r="N16" s="225"/>
    </row>
    <row r="17" spans="1:14" ht="15.75" customHeight="1">
      <c r="B17" s="223" t="s">
        <v>988</v>
      </c>
      <c r="N17" s="225"/>
    </row>
    <row r="18" spans="1:14" ht="15.75" customHeight="1">
      <c r="B18" s="223" t="s">
        <v>989</v>
      </c>
      <c r="N18" s="225"/>
    </row>
    <row r="19" spans="1:14" ht="15.75" customHeight="1">
      <c r="A19" s="227" t="s">
        <v>233</v>
      </c>
      <c r="B19" s="223" t="s">
        <v>771</v>
      </c>
      <c r="N19" s="225"/>
    </row>
    <row r="20" spans="1:14" ht="15.75" customHeight="1">
      <c r="B20" s="223" t="s">
        <v>990</v>
      </c>
      <c r="N20" s="225"/>
    </row>
    <row r="21" spans="1:14" ht="15.75" customHeight="1">
      <c r="B21" s="223" t="s">
        <v>991</v>
      </c>
      <c r="N21" s="225"/>
    </row>
    <row r="22" spans="1:14" ht="15.75" customHeight="1">
      <c r="B22" s="223" t="s">
        <v>992</v>
      </c>
      <c r="N22" s="225"/>
    </row>
    <row r="23" spans="1:14" ht="15.75" customHeight="1">
      <c r="B23" s="238" t="s">
        <v>127</v>
      </c>
    </row>
    <row r="24" spans="1:14" ht="15.75" customHeight="1">
      <c r="B24" s="238" t="s">
        <v>772</v>
      </c>
    </row>
    <row r="25" spans="1:14" ht="15.75" customHeight="1">
      <c r="B25" s="238" t="s">
        <v>773</v>
      </c>
    </row>
    <row r="26" spans="1:14" ht="15.75" customHeight="1">
      <c r="B26" s="238" t="s">
        <v>774</v>
      </c>
    </row>
    <row r="27" spans="1:14" ht="15.75" customHeight="1">
      <c r="B27" s="238" t="s">
        <v>775</v>
      </c>
    </row>
    <row r="28" spans="1:14" ht="15.75" customHeight="1">
      <c r="B28" s="238" t="s">
        <v>776</v>
      </c>
    </row>
    <row r="29" spans="1:14" ht="15.75" customHeight="1">
      <c r="B29" s="238" t="s">
        <v>777</v>
      </c>
    </row>
    <row r="30" spans="1:14" ht="15.75" customHeight="1">
      <c r="B30" s="238" t="s">
        <v>778</v>
      </c>
    </row>
    <row r="31" spans="1:14" ht="15.75" customHeight="1">
      <c r="B31" s="238" t="s">
        <v>779</v>
      </c>
    </row>
    <row r="32" spans="1:14" ht="15.75" customHeight="1">
      <c r="B32" s="238" t="s">
        <v>780</v>
      </c>
    </row>
    <row r="33" spans="1:16" ht="15.75" customHeight="1">
      <c r="B33" s="238" t="s">
        <v>781</v>
      </c>
    </row>
    <row r="34" spans="1:16" ht="15.75" customHeight="1">
      <c r="B34" s="238" t="s">
        <v>782</v>
      </c>
    </row>
    <row r="35" spans="1:16" ht="15.75" customHeight="1">
      <c r="B35" s="238" t="s">
        <v>783</v>
      </c>
    </row>
    <row r="38" spans="1:16" ht="15.75" customHeight="1">
      <c r="A38" s="222" t="s">
        <v>125</v>
      </c>
    </row>
    <row r="39" spans="1:16" s="225" customFormat="1" ht="15.75" customHeight="1">
      <c r="A39" s="224" t="s">
        <v>42</v>
      </c>
      <c r="B39" s="225" t="s">
        <v>784</v>
      </c>
    </row>
    <row r="40" spans="1:16" ht="15.75" customHeight="1">
      <c r="A40" s="225"/>
      <c r="B40" s="224" t="s">
        <v>993</v>
      </c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</row>
    <row r="41" spans="1:16" ht="15.75" customHeight="1">
      <c r="A41" s="225"/>
      <c r="B41" s="224" t="s">
        <v>994</v>
      </c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</row>
    <row r="42" spans="1:16" ht="15.75" customHeight="1">
      <c r="A42" s="227" t="s">
        <v>26</v>
      </c>
      <c r="B42" s="223" t="s">
        <v>785</v>
      </c>
    </row>
    <row r="43" spans="1:16" ht="15.75" customHeight="1">
      <c r="A43" s="227" t="s">
        <v>27</v>
      </c>
      <c r="B43" s="223" t="s">
        <v>786</v>
      </c>
    </row>
    <row r="44" spans="1:16" ht="15.75" customHeight="1">
      <c r="A44" s="227" t="s">
        <v>28</v>
      </c>
      <c r="B44" s="223" t="s">
        <v>787</v>
      </c>
    </row>
    <row r="45" spans="1:16" ht="15.75" customHeight="1">
      <c r="A45" s="227" t="s">
        <v>29</v>
      </c>
      <c r="B45" s="223" t="s">
        <v>788</v>
      </c>
    </row>
    <row r="46" spans="1:16" ht="15.75" customHeight="1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</row>
    <row r="47" spans="1:16" s="225" customFormat="1" ht="15.75" customHeight="1">
      <c r="A47" s="228" t="s">
        <v>248</v>
      </c>
      <c r="G47" s="240"/>
      <c r="H47" s="240"/>
      <c r="I47" s="240"/>
      <c r="J47" s="240"/>
      <c r="K47" s="240"/>
      <c r="L47" s="240"/>
      <c r="M47" s="240"/>
      <c r="N47" s="240"/>
      <c r="O47" s="240"/>
      <c r="P47" s="240"/>
    </row>
    <row r="48" spans="1:16" ht="15.75" customHeight="1">
      <c r="A48" s="225"/>
      <c r="B48" s="225"/>
      <c r="C48" s="225"/>
      <c r="D48" s="225"/>
      <c r="E48" s="225"/>
      <c r="F48" s="225"/>
      <c r="N48" s="225"/>
    </row>
    <row r="49" spans="1:6" ht="15.75" customHeight="1">
      <c r="A49" s="225"/>
      <c r="B49" s="225"/>
      <c r="C49" s="225"/>
      <c r="D49" s="225"/>
      <c r="E49" s="225"/>
      <c r="F49" s="225"/>
    </row>
    <row r="50" spans="1:6" s="225" customFormat="1" ht="15.75" customHeight="1">
      <c r="A50" s="228" t="s">
        <v>762</v>
      </c>
    </row>
    <row r="51" spans="1:6" s="225" customFormat="1" ht="15.75" customHeight="1">
      <c r="A51" s="253" t="s">
        <v>761</v>
      </c>
    </row>
    <row r="52" spans="1:6" s="225" customFormat="1" ht="15.75" customHeight="1">
      <c r="A52" s="264"/>
      <c r="B52" s="225" t="s">
        <v>754</v>
      </c>
      <c r="F52" s="225" t="s">
        <v>755</v>
      </c>
    </row>
    <row r="53" spans="1:6" s="225" customFormat="1" ht="15.75" customHeight="1"/>
    <row r="54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9">
    <tabColor rgb="FFFF0000"/>
  </sheetPr>
  <dimension ref="A1:P125"/>
  <sheetViews>
    <sheetView zoomScaleSheetLayoutView="85" workbookViewId="0">
      <selection activeCell="H18" sqref="H18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TableofContents!$D$10</f>
        <v>매출채권(장단기)</v>
      </c>
      <c r="B2" s="449"/>
      <c r="C2" s="449"/>
      <c r="D2" s="449"/>
      <c r="E2" s="449"/>
      <c r="F2" s="449"/>
      <c r="G2" s="450"/>
      <c r="H2" s="1255" t="str">
        <f>"DIR - "&amp;TableofContents!$B$10</f>
        <v>DIR - C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1473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1306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4" t="s">
        <v>1474</v>
      </c>
      <c r="N19" s="247" t="s">
        <v>1307</v>
      </c>
    </row>
    <row r="20" spans="1:14" s="225" customFormat="1" ht="15.75" customHeight="1">
      <c r="D20" s="471" t="s">
        <v>1458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471" t="s">
        <v>1459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B23" s="224" t="s">
        <v>1070</v>
      </c>
      <c r="C23" s="224" t="s">
        <v>1475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1309</v>
      </c>
    </row>
    <row r="24" spans="1:14" s="225" customFormat="1" ht="15.75" customHeight="1">
      <c r="A24" s="224"/>
      <c r="B24" s="224"/>
      <c r="C24" s="224"/>
      <c r="D24" s="224" t="s">
        <v>1460</v>
      </c>
    </row>
    <row r="25" spans="1:14" s="225" customFormat="1" ht="15.75" customHeight="1">
      <c r="A25" s="224"/>
      <c r="B25" s="224"/>
      <c r="C25" s="224"/>
      <c r="D25" s="224"/>
    </row>
    <row r="26" spans="1:14" s="225" customFormat="1" ht="15.75" customHeight="1">
      <c r="A26" s="224"/>
      <c r="B26" s="224" t="s">
        <v>1332</v>
      </c>
      <c r="C26" s="224" t="s">
        <v>1476</v>
      </c>
      <c r="D26" s="224"/>
      <c r="N26" s="247" t="s">
        <v>1461</v>
      </c>
    </row>
    <row r="27" spans="1:14" s="225" customFormat="1" ht="15.75" customHeight="1">
      <c r="A27" s="224"/>
      <c r="B27" s="224"/>
      <c r="C27" s="224"/>
      <c r="D27" s="224" t="s">
        <v>1462</v>
      </c>
      <c r="N27" s="247"/>
    </row>
    <row r="28" spans="1:14" s="225" customFormat="1" ht="15.75" customHeight="1">
      <c r="A28" s="224"/>
      <c r="B28" s="224"/>
      <c r="C28" s="224"/>
      <c r="D28" s="224" t="s">
        <v>1463</v>
      </c>
      <c r="N28" s="247"/>
    </row>
    <row r="29" spans="1:14" s="225" customFormat="1" ht="15.75" customHeight="1">
      <c r="A29" s="224"/>
      <c r="B29" s="224"/>
      <c r="C29" s="224"/>
      <c r="D29" s="472" t="s">
        <v>1477</v>
      </c>
      <c r="N29" s="247"/>
    </row>
    <row r="30" spans="1:14" s="225" customFormat="1" ht="15.75" customHeight="1">
      <c r="A30" s="224"/>
      <c r="B30" s="224"/>
      <c r="C30" s="224"/>
      <c r="D30" s="472" t="s">
        <v>1478</v>
      </c>
      <c r="N30" s="247"/>
    </row>
    <row r="31" spans="1:14" s="225" customFormat="1" ht="15.75" customHeight="1">
      <c r="A31" s="224"/>
      <c r="B31" s="224"/>
      <c r="C31" s="224"/>
      <c r="D31" s="472" t="s">
        <v>1479</v>
      </c>
      <c r="N31" s="247"/>
    </row>
    <row r="32" spans="1:14" s="225" customFormat="1" ht="15.75" customHeight="1">
      <c r="A32" s="224"/>
      <c r="B32" s="224"/>
      <c r="C32" s="224"/>
      <c r="D32" s="224" t="s">
        <v>1464</v>
      </c>
      <c r="N32" s="247"/>
    </row>
    <row r="33" spans="1:14" s="225" customFormat="1" ht="15.75" customHeight="1">
      <c r="A33" s="224"/>
      <c r="B33" s="224"/>
      <c r="C33" s="224"/>
      <c r="D33" s="472" t="s">
        <v>1480</v>
      </c>
      <c r="N33" s="247"/>
    </row>
    <row r="34" spans="1:14" s="225" customFormat="1" ht="15.75" customHeight="1">
      <c r="A34" s="224"/>
      <c r="B34" s="224"/>
      <c r="C34" s="224"/>
      <c r="D34" s="224"/>
      <c r="N34" s="247"/>
    </row>
    <row r="35" spans="1:14" s="225" customFormat="1" ht="15.75" customHeight="1">
      <c r="A35" s="224"/>
      <c r="B35" s="224" t="s">
        <v>1360</v>
      </c>
      <c r="C35" s="224" t="s">
        <v>1465</v>
      </c>
      <c r="D35" s="224"/>
      <c r="N35" s="247" t="s">
        <v>1467</v>
      </c>
    </row>
    <row r="36" spans="1:14" s="225" customFormat="1" ht="15.75" customHeight="1">
      <c r="A36" s="224"/>
      <c r="B36" s="224"/>
      <c r="C36" s="224" t="s">
        <v>1466</v>
      </c>
      <c r="D36" s="224"/>
      <c r="N36" s="247"/>
    </row>
    <row r="37" spans="1:14" s="225" customFormat="1" ht="15.75" customHeight="1">
      <c r="D37" s="224"/>
      <c r="N37" s="247"/>
    </row>
    <row r="38" spans="1:14" s="225" customFormat="1" ht="15.75" customHeight="1">
      <c r="B38" s="253" t="s">
        <v>1371</v>
      </c>
      <c r="C38" s="224" t="s">
        <v>1879</v>
      </c>
      <c r="D38" s="224"/>
      <c r="N38" s="247" t="s">
        <v>1313</v>
      </c>
    </row>
    <row r="39" spans="1:14" s="225" customFormat="1" ht="15.75" customHeight="1">
      <c r="D39" s="472" t="s">
        <v>1481</v>
      </c>
      <c r="N39" s="247"/>
    </row>
    <row r="40" spans="1:14" s="225" customFormat="1" ht="15.75" customHeight="1">
      <c r="D40" s="472" t="s">
        <v>1485</v>
      </c>
      <c r="N40" s="247"/>
    </row>
    <row r="41" spans="1:14" s="225" customFormat="1" ht="15.75" customHeight="1">
      <c r="D41" s="472" t="s">
        <v>1486</v>
      </c>
      <c r="N41" s="247"/>
    </row>
    <row r="42" spans="1:14" s="225" customFormat="1" ht="15.75" customHeight="1">
      <c r="D42" s="472" t="s">
        <v>1482</v>
      </c>
      <c r="N42" s="247"/>
    </row>
    <row r="43" spans="1:14" s="225" customFormat="1" ht="15.75" customHeight="1">
      <c r="D43" s="472" t="s">
        <v>1487</v>
      </c>
      <c r="N43" s="247"/>
    </row>
    <row r="44" spans="1:14" s="225" customFormat="1" ht="15.75" customHeight="1">
      <c r="D44" s="472" t="s">
        <v>1488</v>
      </c>
      <c r="N44" s="247"/>
    </row>
    <row r="45" spans="1:14" s="225" customFormat="1" ht="15.75" customHeight="1">
      <c r="D45" s="472" t="s">
        <v>1483</v>
      </c>
      <c r="N45" s="247"/>
    </row>
    <row r="46" spans="1:14" s="225" customFormat="1" ht="15.75" customHeight="1">
      <c r="D46" s="472" t="s">
        <v>1484</v>
      </c>
      <c r="N46" s="247"/>
    </row>
    <row r="47" spans="1:14" s="225" customFormat="1" ht="15.75" customHeight="1">
      <c r="D47" s="472" t="s">
        <v>1489</v>
      </c>
      <c r="N47" s="247"/>
    </row>
    <row r="48" spans="1:14" s="225" customFormat="1" ht="15.75" customHeight="1">
      <c r="D48" s="472" t="s">
        <v>1490</v>
      </c>
      <c r="N48" s="247"/>
    </row>
    <row r="49" spans="2:14" s="225" customFormat="1" ht="15.75" customHeight="1">
      <c r="D49" s="472" t="s">
        <v>1491</v>
      </c>
      <c r="N49" s="247"/>
    </row>
    <row r="50" spans="2:14" s="225" customFormat="1" ht="15.75" customHeight="1">
      <c r="D50" s="472" t="s">
        <v>1492</v>
      </c>
      <c r="N50" s="247"/>
    </row>
    <row r="51" spans="2:14" s="225" customFormat="1" ht="15.75" customHeight="1">
      <c r="D51" s="472" t="s">
        <v>1493</v>
      </c>
      <c r="N51" s="247"/>
    </row>
    <row r="52" spans="2:14" s="225" customFormat="1" ht="15.75" customHeight="1">
      <c r="D52" s="472" t="s">
        <v>1494</v>
      </c>
      <c r="N52" s="247"/>
    </row>
    <row r="53" spans="2:14" s="225" customFormat="1" ht="15.75" customHeight="1">
      <c r="D53" s="472" t="s">
        <v>1495</v>
      </c>
      <c r="N53" s="247"/>
    </row>
    <row r="54" spans="2:14" s="225" customFormat="1" ht="15.75" customHeight="1">
      <c r="D54" s="472"/>
      <c r="N54" s="247"/>
    </row>
    <row r="55" spans="2:14" s="225" customFormat="1" ht="15.75" customHeight="1">
      <c r="B55" s="224" t="s">
        <v>1375</v>
      </c>
      <c r="C55" s="224" t="s">
        <v>1496</v>
      </c>
      <c r="D55" s="472"/>
      <c r="N55" s="247" t="s">
        <v>1468</v>
      </c>
    </row>
    <row r="56" spans="2:14" s="225" customFormat="1" ht="15.75" customHeight="1">
      <c r="B56" s="224"/>
      <c r="C56" s="224" t="s">
        <v>1497</v>
      </c>
      <c r="D56" s="472"/>
      <c r="N56" s="247"/>
    </row>
    <row r="57" spans="2:14" s="225" customFormat="1" ht="15.75" customHeight="1">
      <c r="C57" s="225" t="s">
        <v>1498</v>
      </c>
      <c r="D57" s="472"/>
      <c r="N57" s="247"/>
    </row>
    <row r="58" spans="2:14" s="225" customFormat="1" ht="15.75" customHeight="1">
      <c r="C58" s="224" t="s">
        <v>1499</v>
      </c>
      <c r="D58" s="472"/>
      <c r="N58" s="247"/>
    </row>
    <row r="59" spans="2:14" s="225" customFormat="1" ht="15.75" customHeight="1">
      <c r="C59" s="224" t="s">
        <v>1500</v>
      </c>
      <c r="D59" s="472"/>
      <c r="N59" s="247"/>
    </row>
    <row r="60" spans="2:14" s="225" customFormat="1" ht="15.75" customHeight="1">
      <c r="C60" s="224"/>
      <c r="D60" s="472"/>
      <c r="N60" s="247"/>
    </row>
    <row r="61" spans="2:14" s="225" customFormat="1" ht="15.75" customHeight="1">
      <c r="B61" s="224" t="s">
        <v>1376</v>
      </c>
      <c r="C61" s="224" t="s">
        <v>1881</v>
      </c>
      <c r="D61" s="224"/>
      <c r="N61" s="247" t="s">
        <v>1469</v>
      </c>
    </row>
    <row r="62" spans="2:14" s="225" customFormat="1" ht="15.75" customHeight="1">
      <c r="D62" s="472" t="s">
        <v>1501</v>
      </c>
      <c r="N62" s="475"/>
    </row>
    <row r="63" spans="2:14" s="225" customFormat="1" ht="15.75" customHeight="1">
      <c r="D63" s="472" t="s">
        <v>1502</v>
      </c>
      <c r="N63" s="475"/>
    </row>
    <row r="64" spans="2:14" s="225" customFormat="1" ht="15.75" customHeight="1">
      <c r="D64" s="472" t="s">
        <v>1503</v>
      </c>
      <c r="N64" s="475"/>
    </row>
    <row r="65" spans="2:14" s="225" customFormat="1" ht="15.75" customHeight="1">
      <c r="D65" s="224"/>
      <c r="N65" s="475"/>
    </row>
    <row r="66" spans="2:14" s="225" customFormat="1" ht="15.75" customHeight="1">
      <c r="B66" s="224" t="s">
        <v>1379</v>
      </c>
      <c r="C66" s="224" t="s">
        <v>1504</v>
      </c>
      <c r="D66" s="224"/>
      <c r="N66" s="247" t="s">
        <v>1313</v>
      </c>
    </row>
    <row r="67" spans="2:14" s="225" customFormat="1" ht="15.75" customHeight="1">
      <c r="D67" s="472" t="s">
        <v>1505</v>
      </c>
      <c r="N67" s="247"/>
    </row>
    <row r="68" spans="2:14" s="225" customFormat="1" ht="15.75" customHeight="1">
      <c r="D68" s="224" t="s">
        <v>1506</v>
      </c>
      <c r="N68" s="247"/>
    </row>
    <row r="69" spans="2:14" s="225" customFormat="1" ht="15.75" customHeight="1">
      <c r="D69" s="224"/>
      <c r="N69" s="247"/>
    </row>
    <row r="70" spans="2:14" s="225" customFormat="1" ht="15.75" customHeight="1">
      <c r="B70" s="224" t="s">
        <v>1381</v>
      </c>
      <c r="C70" s="224" t="s">
        <v>1507</v>
      </c>
      <c r="D70" s="224"/>
      <c r="N70" s="247" t="s">
        <v>1470</v>
      </c>
    </row>
    <row r="71" spans="2:14" s="225" customFormat="1" ht="15.75" customHeight="1">
      <c r="D71" s="472" t="s">
        <v>1471</v>
      </c>
      <c r="N71" s="247"/>
    </row>
    <row r="72" spans="2:14" s="225" customFormat="1" ht="15.75" customHeight="1">
      <c r="D72" s="224"/>
      <c r="N72" s="247"/>
    </row>
    <row r="73" spans="2:14" s="225" customFormat="1" ht="15.75" customHeight="1">
      <c r="B73" s="224" t="s">
        <v>1383</v>
      </c>
      <c r="C73" s="224" t="s">
        <v>1508</v>
      </c>
      <c r="D73" s="224"/>
      <c r="N73" s="247" t="s">
        <v>1313</v>
      </c>
    </row>
    <row r="74" spans="2:14" s="225" customFormat="1" ht="15.75" customHeight="1">
      <c r="C74" s="224"/>
      <c r="D74" s="224"/>
      <c r="N74" s="247"/>
    </row>
    <row r="75" spans="2:14" s="225" customFormat="1" ht="15.75" customHeight="1">
      <c r="B75" s="224" t="s">
        <v>1384</v>
      </c>
      <c r="C75" s="224" t="s">
        <v>1509</v>
      </c>
      <c r="D75" s="224"/>
      <c r="N75" s="247" t="s">
        <v>1429</v>
      </c>
    </row>
    <row r="76" spans="2:14" s="225" customFormat="1" ht="15.75" customHeight="1">
      <c r="D76" s="224" t="s">
        <v>1472</v>
      </c>
      <c r="N76" s="247"/>
    </row>
    <row r="77" spans="2:14" s="225" customFormat="1" ht="15.75" customHeight="1">
      <c r="D77" s="224"/>
      <c r="N77" s="247"/>
    </row>
    <row r="78" spans="2:14" s="225" customFormat="1" ht="15.75" customHeight="1">
      <c r="B78" s="224" t="s">
        <v>1390</v>
      </c>
      <c r="C78" s="224" t="s">
        <v>1510</v>
      </c>
      <c r="D78" s="224"/>
      <c r="N78" s="247" t="s">
        <v>1311</v>
      </c>
    </row>
    <row r="79" spans="2:14" s="225" customFormat="1" ht="15.75" customHeight="1">
      <c r="C79" s="224"/>
      <c r="D79" s="472" t="s">
        <v>1512</v>
      </c>
      <c r="N79" s="247"/>
    </row>
    <row r="80" spans="2:14" s="225" customFormat="1" ht="15.75" customHeight="1">
      <c r="C80" s="224"/>
      <c r="D80" s="472" t="s">
        <v>1511</v>
      </c>
      <c r="N80" s="247"/>
    </row>
    <row r="81" spans="1:14" s="225" customFormat="1" ht="15.75" customHeight="1">
      <c r="C81" s="224"/>
      <c r="D81" s="224"/>
      <c r="N81" s="247"/>
    </row>
    <row r="82" spans="1:14" s="225" customFormat="1" ht="15.75" customHeight="1">
      <c r="B82" s="224" t="s">
        <v>1435</v>
      </c>
      <c r="C82" s="224" t="s">
        <v>1513</v>
      </c>
      <c r="D82" s="224"/>
      <c r="N82" s="247" t="s">
        <v>1430</v>
      </c>
    </row>
    <row r="83" spans="1:14" s="225" customFormat="1" ht="15.75" customHeight="1">
      <c r="D83" s="472" t="s">
        <v>1514</v>
      </c>
      <c r="N83" s="247"/>
    </row>
    <row r="84" spans="1:14" s="225" customFormat="1" ht="15.75" customHeight="1">
      <c r="D84" s="472" t="s">
        <v>1515</v>
      </c>
      <c r="N84" s="247"/>
    </row>
    <row r="85" spans="1:14" s="225" customFormat="1" ht="15.75" customHeight="1">
      <c r="D85" s="472" t="s">
        <v>1516</v>
      </c>
      <c r="N85" s="247"/>
    </row>
    <row r="86" spans="1:14" s="225" customFormat="1" ht="15.75" customHeight="1">
      <c r="D86" s="224"/>
      <c r="N86" s="247"/>
    </row>
    <row r="87" spans="1:14" s="225" customFormat="1" ht="15.75" customHeight="1">
      <c r="B87" s="224" t="s">
        <v>1437</v>
      </c>
      <c r="C87" s="224" t="s">
        <v>1386</v>
      </c>
      <c r="D87" s="224"/>
      <c r="N87" s="247" t="s">
        <v>1311</v>
      </c>
    </row>
    <row r="88" spans="1:14" s="225" customFormat="1" ht="15.75" customHeight="1">
      <c r="D88" s="472" t="s">
        <v>1517</v>
      </c>
    </row>
    <row r="89" spans="1:14" s="225" customFormat="1" ht="15.75" customHeight="1">
      <c r="D89" s="472" t="s">
        <v>1518</v>
      </c>
    </row>
    <row r="90" spans="1:14" s="225" customFormat="1" ht="15.75" customHeight="1">
      <c r="D90" s="472" t="s">
        <v>1519</v>
      </c>
    </row>
    <row r="91" spans="1:14" s="225" customFormat="1" ht="15.75" customHeight="1">
      <c r="D91" s="472" t="s">
        <v>1520</v>
      </c>
    </row>
    <row r="92" spans="1:14" s="225" customFormat="1" ht="15.75" customHeight="1">
      <c r="C92" s="224"/>
      <c r="D92" s="472" t="s">
        <v>1521</v>
      </c>
    </row>
    <row r="93" spans="1:14" s="225" customFormat="1" ht="15.75" customHeight="1">
      <c r="D93" s="472" t="s">
        <v>1522</v>
      </c>
    </row>
    <row r="94" spans="1:14" s="225" customFormat="1" ht="15.75" customHeight="1">
      <c r="C94" s="224"/>
      <c r="D94" s="472" t="s">
        <v>1523</v>
      </c>
    </row>
    <row r="95" spans="1:14" s="225" customFormat="1" ht="15.75" customHeight="1">
      <c r="D95" s="472" t="s">
        <v>1524</v>
      </c>
    </row>
    <row r="96" spans="1:14" s="229" customFormat="1" ht="15.75" customHeight="1">
      <c r="A96" s="253"/>
      <c r="B96" s="253"/>
      <c r="C96" s="224"/>
      <c r="D96" s="224"/>
      <c r="E96" s="225"/>
      <c r="F96" s="225"/>
      <c r="G96" s="225"/>
      <c r="H96" s="225"/>
      <c r="I96" s="225"/>
      <c r="J96" s="225"/>
      <c r="K96" s="225"/>
      <c r="L96" s="225"/>
    </row>
    <row r="97" spans="1:14" s="225" customFormat="1" ht="15.75" customHeight="1">
      <c r="A97" s="264"/>
      <c r="B97" s="224" t="s">
        <v>1444</v>
      </c>
      <c r="C97" s="224" t="s">
        <v>1391</v>
      </c>
      <c r="D97" s="224"/>
    </row>
    <row r="98" spans="1:14" s="225" customFormat="1" ht="15.75" customHeight="1">
      <c r="A98" s="264"/>
      <c r="B98" s="264"/>
    </row>
    <row r="99" spans="1:14" s="225" customFormat="1" ht="15.75" customHeight="1">
      <c r="A99" s="264"/>
      <c r="B99" s="264"/>
      <c r="C99" s="224"/>
      <c r="D99" s="224"/>
    </row>
    <row r="100" spans="1:14" s="225" customFormat="1" ht="15.75" customHeight="1">
      <c r="A100" s="264"/>
      <c r="B100" s="264"/>
      <c r="D100" s="224"/>
    </row>
    <row r="101" spans="1:14" s="225" customFormat="1" ht="15.75" customHeight="1">
      <c r="A101" s="264"/>
      <c r="B101" s="264"/>
    </row>
    <row r="102" spans="1:14" s="225" customFormat="1" ht="15.75" customHeight="1">
      <c r="A102" s="264"/>
      <c r="B102" s="264"/>
      <c r="C102" s="224"/>
      <c r="D102" s="224"/>
    </row>
    <row r="103" spans="1:14" s="225" customFormat="1" ht="15.75" customHeight="1">
      <c r="A103" s="264"/>
      <c r="B103" s="264"/>
    </row>
    <row r="104" spans="1:14" s="225" customFormat="1" ht="15.75" customHeight="1">
      <c r="A104" s="264"/>
      <c r="B104" s="264"/>
      <c r="C104" s="224"/>
      <c r="D104" s="224"/>
    </row>
    <row r="105" spans="1:14" s="225" customFormat="1" ht="15.75" customHeight="1">
      <c r="A105" s="264"/>
      <c r="B105" s="264"/>
    </row>
    <row r="106" spans="1:14" s="225" customFormat="1" ht="15.75" customHeight="1">
      <c r="A106" s="264"/>
      <c r="B106" s="253"/>
      <c r="N106" s="247"/>
    </row>
    <row r="107" spans="1:14" s="225" customFormat="1" ht="15.75" customHeight="1">
      <c r="A107" s="264"/>
      <c r="B107" s="264"/>
    </row>
    <row r="108" spans="1:14" s="225" customFormat="1" ht="15.75" customHeight="1">
      <c r="A108" s="264"/>
      <c r="B108" s="253"/>
      <c r="C108" s="224"/>
      <c r="N108" s="247"/>
    </row>
    <row r="109" spans="1:14" s="225" customFormat="1" ht="15.75" customHeight="1">
      <c r="A109" s="264"/>
      <c r="B109" s="264"/>
    </row>
    <row r="110" spans="1:14" s="225" customFormat="1" ht="15.75" customHeight="1">
      <c r="A110" s="264"/>
      <c r="B110" s="253"/>
      <c r="C110" s="224"/>
      <c r="N110" s="247"/>
    </row>
    <row r="111" spans="1:14" s="225" customFormat="1" ht="15.75" customHeight="1">
      <c r="A111" s="264"/>
      <c r="B111" s="264"/>
      <c r="D111" s="224"/>
    </row>
    <row r="112" spans="1:14" s="225" customFormat="1" ht="15.75" customHeight="1">
      <c r="A112" s="264"/>
      <c r="B112" s="264"/>
      <c r="D112" s="224"/>
    </row>
    <row r="113" spans="1:14" s="225" customFormat="1" ht="15.75" customHeight="1">
      <c r="A113" s="264"/>
      <c r="B113" s="264"/>
    </row>
    <row r="114" spans="1:14" s="225" customFormat="1" ht="15.75" customHeight="1">
      <c r="A114" s="264"/>
      <c r="B114" s="253"/>
      <c r="C114" s="224"/>
      <c r="N114" s="247"/>
    </row>
    <row r="115" spans="1:14" s="225" customFormat="1" ht="15.75" customHeight="1">
      <c r="A115" s="264"/>
      <c r="B115" s="264"/>
    </row>
    <row r="116" spans="1:14" s="225" customFormat="1" ht="15.75" customHeight="1">
      <c r="B116" s="224"/>
      <c r="C116" s="224"/>
      <c r="N116" s="247"/>
    </row>
    <row r="117" spans="1:14" s="225" customFormat="1" ht="15.75" customHeight="1"/>
    <row r="118" spans="1:14" s="225" customFormat="1" ht="15.75" customHeight="1">
      <c r="B118" s="224"/>
      <c r="C118" s="224"/>
      <c r="N118" s="247"/>
    </row>
    <row r="119" spans="1:14" s="225" customFormat="1" ht="15.75" customHeight="1"/>
    <row r="120" spans="1:14" s="225" customFormat="1" ht="15.75" customHeight="1">
      <c r="B120" s="224"/>
      <c r="C120" s="227"/>
      <c r="N120" s="252"/>
    </row>
    <row r="121" spans="1:14" s="225" customFormat="1" ht="15.75" customHeight="1">
      <c r="D121" s="223"/>
    </row>
    <row r="122" spans="1:14" s="225" customFormat="1" ht="15.75" customHeight="1">
      <c r="D122" s="223"/>
    </row>
    <row r="123" spans="1:14" s="225" customFormat="1" ht="15.75" customHeight="1">
      <c r="D123" s="223"/>
    </row>
    <row r="124" spans="1:14" s="225" customFormat="1" ht="15.75" customHeight="1"/>
    <row r="125" spans="1:14" s="225" customFormat="1" ht="15.75" customHeight="1">
      <c r="B125" s="224"/>
      <c r="C12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0">
    <tabColor rgb="FF00B050"/>
  </sheetPr>
  <dimension ref="A1:K42"/>
  <sheetViews>
    <sheetView zoomScaleSheetLayoutView="85" workbookViewId="0">
      <selection activeCell="H18" sqref="H18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5" t="str">
        <f>TableofContents!$D$10</f>
        <v>매출채권(장단기)</v>
      </c>
      <c r="B2" s="446"/>
      <c r="C2" s="446"/>
      <c r="D2" s="446"/>
      <c r="E2" s="446"/>
      <c r="F2" s="1274" t="str">
        <f>TableofContents!$B$10</f>
        <v>C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FS_worksheet!C16</f>
        <v xml:space="preserve">      외  상  매  출  금</v>
      </c>
      <c r="C7" s="230"/>
      <c r="D7" s="230">
        <f>VLOOKUP($B7,FS_worksheet!$C$11:$H$116,3,FALSE)</f>
        <v>0</v>
      </c>
      <c r="E7" s="230"/>
      <c r="F7" s="230">
        <f>H7+J7-D7</f>
        <v>4180000</v>
      </c>
      <c r="G7" s="232"/>
      <c r="H7" s="230"/>
      <c r="I7" s="230"/>
      <c r="J7" s="230">
        <f>VLOOKUP($B7,FS_worksheet!$C$11:$H$116,5,FALSE)</f>
        <v>4180000</v>
      </c>
      <c r="K7" s="233"/>
    </row>
    <row r="8" spans="1:11" ht="15.75" customHeight="1">
      <c r="A8" s="233"/>
      <c r="B8" s="234" t="str">
        <f>FS_worksheet!C17</f>
        <v xml:space="preserve">      미   수     수  익</v>
      </c>
      <c r="C8" s="233"/>
      <c r="D8" s="233">
        <f>VLOOKUP($B8,FS_worksheet!$C$11:$H$116,3,FALSE)</f>
        <v>93381167</v>
      </c>
      <c r="E8" s="233"/>
      <c r="F8" s="233">
        <f>H8+J8-D8</f>
        <v>-9033921</v>
      </c>
      <c r="G8" s="235"/>
      <c r="H8" s="233"/>
      <c r="I8" s="233"/>
      <c r="J8" s="233">
        <f>VLOOKUP($B8,FS_worksheet!$C$11:$H$116,5,FALSE)</f>
        <v>84347246</v>
      </c>
    </row>
    <row r="9" spans="1:11" ht="15.75" customHeight="1">
      <c r="A9" s="230"/>
      <c r="B9" s="231" t="str">
        <f>FS_worksheet!C18</f>
        <v xml:space="preserve">      미      수      금</v>
      </c>
      <c r="C9" s="230"/>
      <c r="D9" s="230">
        <f>VLOOKUP($B9,FS_worksheet!$C$11:$H$116,3,FALSE)</f>
        <v>73792000</v>
      </c>
      <c r="E9" s="230"/>
      <c r="F9" s="230">
        <f>H9+J9-D9</f>
        <v>-1494210</v>
      </c>
      <c r="G9" s="232"/>
      <c r="H9" s="230"/>
      <c r="I9" s="230"/>
      <c r="J9" s="230">
        <f>VLOOKUP($B9,FS_worksheet!$C$11:$H$116,5,FALSE)</f>
        <v>72297790</v>
      </c>
      <c r="K9" s="233"/>
    </row>
    <row r="10" spans="1:11" ht="15.75" customHeight="1">
      <c r="A10" s="233"/>
      <c r="B10" s="234" t="str">
        <f>FS_worksheet!C19</f>
        <v xml:space="preserve">      매도가능증권</v>
      </c>
      <c r="C10" s="233"/>
      <c r="D10" s="233">
        <f>VLOOKUP($B10,FS_worksheet!$C$11:$H$116,3,FALSE)</f>
        <v>262026459</v>
      </c>
      <c r="E10" s="233"/>
      <c r="F10" s="233">
        <f>H10+J10-D10</f>
        <v>-262026459</v>
      </c>
      <c r="G10" s="235"/>
      <c r="H10" s="233"/>
      <c r="I10" s="233"/>
      <c r="J10" s="233">
        <f>VLOOKUP($B10,FS_worksheet!$C$11:$H$116,5,FALSE)</f>
        <v>0</v>
      </c>
      <c r="K10" s="233"/>
    </row>
    <row r="13" spans="1:11" ht="15.75" customHeight="1">
      <c r="A13" s="222" t="s">
        <v>124</v>
      </c>
    </row>
    <row r="14" spans="1:11" ht="15.75" customHeight="1">
      <c r="A14" s="227" t="s">
        <v>2</v>
      </c>
      <c r="B14" s="223" t="s">
        <v>789</v>
      </c>
    </row>
    <row r="15" spans="1:11" ht="15.75" customHeight="1">
      <c r="B15" s="227" t="s">
        <v>790</v>
      </c>
    </row>
    <row r="16" spans="1:11" ht="15.75" customHeight="1">
      <c r="B16" s="227" t="s">
        <v>791</v>
      </c>
    </row>
    <row r="17" spans="1:2" ht="15.75" customHeight="1">
      <c r="A17" s="227" t="s">
        <v>34</v>
      </c>
      <c r="B17" s="223" t="s">
        <v>792</v>
      </c>
    </row>
    <row r="18" spans="1:2" ht="15.75" customHeight="1">
      <c r="A18" s="227" t="s">
        <v>4</v>
      </c>
      <c r="B18" s="223" t="s">
        <v>793</v>
      </c>
    </row>
    <row r="19" spans="1:2" ht="15.75" customHeight="1">
      <c r="A19" s="227" t="s">
        <v>228</v>
      </c>
      <c r="B19" s="223" t="s">
        <v>794</v>
      </c>
    </row>
    <row r="20" spans="1:2" ht="15.75" customHeight="1">
      <c r="A20" s="227" t="s">
        <v>229</v>
      </c>
      <c r="B20" s="226" t="s">
        <v>795</v>
      </c>
    </row>
    <row r="21" spans="1:2" ht="15.75" customHeight="1">
      <c r="A21" s="227" t="s">
        <v>84</v>
      </c>
      <c r="B21" s="226" t="s">
        <v>796</v>
      </c>
    </row>
    <row r="22" spans="1:2" ht="15.75" customHeight="1">
      <c r="A22" s="227" t="s">
        <v>44</v>
      </c>
      <c r="B22" s="226" t="s">
        <v>797</v>
      </c>
    </row>
    <row r="23" spans="1:2" ht="15.75" customHeight="1">
      <c r="A23" s="227" t="s">
        <v>45</v>
      </c>
      <c r="B23" s="226" t="s">
        <v>798</v>
      </c>
    </row>
    <row r="26" spans="1:2" ht="15.75" customHeight="1">
      <c r="A26" s="222" t="s">
        <v>125</v>
      </c>
    </row>
    <row r="27" spans="1:2" ht="15.75" customHeight="1">
      <c r="A27" s="227" t="s">
        <v>2</v>
      </c>
      <c r="B27" s="223" t="s">
        <v>799</v>
      </c>
    </row>
    <row r="28" spans="1:2" ht="15.75" customHeight="1">
      <c r="A28" s="227" t="s">
        <v>34</v>
      </c>
      <c r="B28" s="223" t="s">
        <v>800</v>
      </c>
    </row>
    <row r="29" spans="1:2" ht="15.75" customHeight="1">
      <c r="A29" s="227" t="s">
        <v>35</v>
      </c>
      <c r="B29" s="223" t="s">
        <v>801</v>
      </c>
    </row>
    <row r="30" spans="1:2" ht="15.75" customHeight="1">
      <c r="A30" s="227" t="s">
        <v>36</v>
      </c>
      <c r="B30" s="223" t="s">
        <v>802</v>
      </c>
    </row>
    <row r="31" spans="1:2" ht="15.75" customHeight="1">
      <c r="A31" s="227" t="s">
        <v>229</v>
      </c>
      <c r="B31" s="223" t="s">
        <v>803</v>
      </c>
    </row>
    <row r="32" spans="1:2" ht="15.75" customHeight="1">
      <c r="A32" s="227" t="s">
        <v>84</v>
      </c>
      <c r="B32" s="223" t="s">
        <v>804</v>
      </c>
    </row>
    <row r="33" spans="1:10" s="225" customFormat="1" ht="15.75" customHeight="1">
      <c r="A33" s="224" t="s">
        <v>85</v>
      </c>
      <c r="B33" s="223" t="s">
        <v>805</v>
      </c>
    </row>
    <row r="34" spans="1:10" s="225" customFormat="1" ht="15.75" customHeight="1">
      <c r="A34" s="224" t="s">
        <v>86</v>
      </c>
      <c r="B34" s="226" t="s">
        <v>792</v>
      </c>
      <c r="C34" s="226"/>
      <c r="D34" s="226"/>
      <c r="E34" s="226"/>
      <c r="F34" s="226"/>
      <c r="G34" s="226"/>
      <c r="H34" s="226"/>
      <c r="I34" s="226"/>
      <c r="J34" s="226"/>
    </row>
    <row r="35" spans="1:10" s="225" customFormat="1" ht="15.75" customHeight="1">
      <c r="A35" s="224" t="s">
        <v>87</v>
      </c>
      <c r="B35" s="226" t="s">
        <v>806</v>
      </c>
      <c r="C35" s="226"/>
      <c r="D35" s="226"/>
      <c r="E35" s="226"/>
      <c r="F35" s="226"/>
      <c r="G35" s="226"/>
      <c r="H35" s="226"/>
      <c r="I35" s="226"/>
      <c r="J35" s="226"/>
    </row>
    <row r="36" spans="1:10" s="225" customFormat="1" ht="15.75" customHeight="1">
      <c r="B36" s="226"/>
      <c r="C36" s="226"/>
      <c r="D36" s="226"/>
      <c r="E36" s="226"/>
      <c r="F36" s="226"/>
      <c r="G36" s="226"/>
      <c r="H36" s="226"/>
      <c r="I36" s="226"/>
      <c r="J36" s="226"/>
    </row>
    <row r="37" spans="1:10" s="225" customFormat="1" ht="15.75" customHeight="1">
      <c r="A37" s="228" t="s">
        <v>248</v>
      </c>
    </row>
    <row r="38" spans="1:10" s="225" customFormat="1" ht="15.75" customHeight="1"/>
    <row r="39" spans="1:10" s="225" customFormat="1" ht="15.75" customHeight="1"/>
    <row r="40" spans="1:10" s="225" customFormat="1" ht="15.75" customHeight="1">
      <c r="A40" s="228" t="s">
        <v>762</v>
      </c>
      <c r="G40" s="226"/>
      <c r="H40" s="226"/>
      <c r="I40" s="226"/>
      <c r="J40" s="226"/>
    </row>
    <row r="41" spans="1:10" s="225" customFormat="1" ht="15.75" customHeight="1">
      <c r="A41" s="253" t="s">
        <v>761</v>
      </c>
      <c r="G41" s="226"/>
      <c r="H41" s="226"/>
      <c r="I41" s="226"/>
      <c r="J41" s="226"/>
    </row>
    <row r="42" spans="1:10" ht="15.75" customHeight="1">
      <c r="A42" s="264"/>
      <c r="B42" s="225" t="s">
        <v>754</v>
      </c>
      <c r="C42" s="225"/>
      <c r="D42" s="225"/>
      <c r="E42" s="225"/>
      <c r="F42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24"/>
  <sheetViews>
    <sheetView zoomScale="70" zoomScaleNormal="70" workbookViewId="0">
      <selection activeCell="C26" sqref="C26"/>
    </sheetView>
  </sheetViews>
  <sheetFormatPr defaultColWidth="9" defaultRowHeight="16.5"/>
  <cols>
    <col min="1" max="1" width="13.5" style="90" customWidth="1"/>
    <col min="2" max="2" width="21.25" style="90" customWidth="1"/>
    <col min="3" max="3" width="21.625" style="90" customWidth="1"/>
    <col min="4" max="6" width="20.5" style="90" customWidth="1"/>
    <col min="7" max="16384" width="9" style="90"/>
  </cols>
  <sheetData>
    <row r="1" spans="1:6">
      <c r="A1" s="89" t="s">
        <v>217</v>
      </c>
      <c r="B1" s="89" t="s">
        <v>218</v>
      </c>
      <c r="C1" s="89" t="s">
        <v>219</v>
      </c>
      <c r="D1" s="89" t="s">
        <v>220</v>
      </c>
      <c r="E1" s="89" t="s">
        <v>221</v>
      </c>
      <c r="F1" s="89" t="s">
        <v>222</v>
      </c>
    </row>
    <row r="2" spans="1:6">
      <c r="A2" s="91">
        <v>35795</v>
      </c>
      <c r="B2" s="92">
        <v>1415.2</v>
      </c>
      <c r="C2" s="92">
        <v>1087.82</v>
      </c>
      <c r="D2" s="92" t="s">
        <v>5</v>
      </c>
      <c r="E2" s="92">
        <v>973.65</v>
      </c>
      <c r="F2" s="92">
        <v>170.92</v>
      </c>
    </row>
    <row r="3" spans="1:6">
      <c r="A3" s="91">
        <v>36160</v>
      </c>
      <c r="B3" s="92">
        <v>1207.8</v>
      </c>
      <c r="C3" s="92">
        <v>1053.47</v>
      </c>
      <c r="D3" s="92" t="s">
        <v>5</v>
      </c>
      <c r="E3" s="92">
        <v>871.74</v>
      </c>
      <c r="F3" s="92">
        <v>145.88999999999999</v>
      </c>
    </row>
    <row r="4" spans="1:6">
      <c r="A4" s="91">
        <v>36524</v>
      </c>
      <c r="B4" s="92">
        <v>1145.4000000000001</v>
      </c>
      <c r="C4" s="92">
        <v>1121.8399999999999</v>
      </c>
      <c r="D4" s="92">
        <v>1150.55</v>
      </c>
      <c r="E4" s="92">
        <v>717.33</v>
      </c>
      <c r="F4" s="92">
        <v>138.35</v>
      </c>
    </row>
    <row r="5" spans="1:6">
      <c r="A5" s="91">
        <v>36890</v>
      </c>
      <c r="B5" s="92">
        <v>1259.7</v>
      </c>
      <c r="C5" s="92">
        <v>1101.52</v>
      </c>
      <c r="D5" s="92">
        <v>1187.27</v>
      </c>
      <c r="E5" s="92">
        <v>781.94</v>
      </c>
      <c r="F5" s="92">
        <v>152.19</v>
      </c>
    </row>
    <row r="6" spans="1:6">
      <c r="A6" s="91">
        <v>37256</v>
      </c>
      <c r="B6" s="92">
        <v>1326.1</v>
      </c>
      <c r="C6" s="92">
        <v>1009.4</v>
      </c>
      <c r="D6" s="92">
        <v>1172.5999999999999</v>
      </c>
      <c r="E6" s="92">
        <v>791.99</v>
      </c>
      <c r="F6" s="92">
        <v>160.22</v>
      </c>
    </row>
    <row r="7" spans="1:6" s="95" customFormat="1">
      <c r="A7" s="93">
        <v>37621</v>
      </c>
      <c r="B7" s="94">
        <v>1200.4000000000001</v>
      </c>
      <c r="C7" s="94">
        <v>1012.87</v>
      </c>
      <c r="D7" s="94">
        <v>1257.3599999999999</v>
      </c>
      <c r="E7" s="94">
        <v>864.81</v>
      </c>
      <c r="F7" s="94">
        <v>145.02000000000001</v>
      </c>
    </row>
    <row r="8" spans="1:6" s="95" customFormat="1">
      <c r="A8" s="93">
        <v>37986</v>
      </c>
      <c r="B8" s="94">
        <v>1197.8</v>
      </c>
      <c r="C8" s="94">
        <v>1119.5999999999999</v>
      </c>
      <c r="D8" s="94">
        <v>1502.58</v>
      </c>
      <c r="E8" s="94">
        <v>964.18</v>
      </c>
      <c r="F8" s="94">
        <v>144.72</v>
      </c>
    </row>
    <row r="9" spans="1:6" s="95" customFormat="1">
      <c r="A9" s="93">
        <v>38352</v>
      </c>
      <c r="B9" s="94">
        <v>1043.8</v>
      </c>
      <c r="C9" s="94">
        <v>1012.07</v>
      </c>
      <c r="D9" s="94">
        <v>1422.96</v>
      </c>
      <c r="E9" s="94">
        <v>921.72</v>
      </c>
      <c r="F9" s="94">
        <v>126.12</v>
      </c>
    </row>
    <row r="10" spans="1:6">
      <c r="A10" s="93">
        <v>38717</v>
      </c>
      <c r="B10" s="94">
        <v>1013</v>
      </c>
      <c r="C10" s="94">
        <v>860.04</v>
      </c>
      <c r="D10" s="94">
        <v>1200.1500000000001</v>
      </c>
      <c r="E10" s="94">
        <v>771.34</v>
      </c>
      <c r="F10" s="94">
        <v>125.52</v>
      </c>
    </row>
    <row r="11" spans="1:6">
      <c r="A11" s="93">
        <v>39082</v>
      </c>
      <c r="B11" s="94">
        <v>929.6</v>
      </c>
      <c r="C11" s="94">
        <v>781.83</v>
      </c>
      <c r="D11" s="94">
        <v>1222.24</v>
      </c>
      <c r="E11" s="94">
        <v>760.94</v>
      </c>
      <c r="F11" s="94">
        <v>118.97</v>
      </c>
    </row>
    <row r="12" spans="1:6">
      <c r="A12" s="93">
        <v>39447</v>
      </c>
      <c r="B12" s="94">
        <v>938.2</v>
      </c>
      <c r="C12" s="94">
        <v>833.33</v>
      </c>
      <c r="D12" s="94">
        <v>1381.26</v>
      </c>
      <c r="E12" s="94">
        <v>832.03</v>
      </c>
      <c r="F12" s="94">
        <v>128.44999999999999</v>
      </c>
    </row>
    <row r="13" spans="1:6">
      <c r="A13" s="93">
        <v>39538</v>
      </c>
      <c r="B13" s="94">
        <v>991.7</v>
      </c>
      <c r="C13" s="94">
        <v>1000.2</v>
      </c>
      <c r="D13" s="94">
        <v>1565</v>
      </c>
      <c r="E13" s="94">
        <v>995.83</v>
      </c>
      <c r="F13" s="94">
        <v>141.43</v>
      </c>
    </row>
    <row r="14" spans="1:6">
      <c r="A14" s="93">
        <v>39629</v>
      </c>
      <c r="B14" s="94">
        <v>1043.4000000000001</v>
      </c>
      <c r="C14" s="94">
        <v>981.79</v>
      </c>
      <c r="D14" s="94">
        <v>1647.06</v>
      </c>
      <c r="E14" s="94">
        <v>1024</v>
      </c>
      <c r="F14" s="94">
        <v>152.06</v>
      </c>
    </row>
    <row r="15" spans="1:6">
      <c r="A15" s="93">
        <v>39721</v>
      </c>
      <c r="B15" s="94">
        <v>1187.7</v>
      </c>
      <c r="C15" s="94">
        <v>1144.22</v>
      </c>
      <c r="D15" s="94">
        <v>1707.2</v>
      </c>
      <c r="E15" s="94">
        <v>1086.44</v>
      </c>
      <c r="F15" s="94">
        <v>173.51</v>
      </c>
    </row>
    <row r="16" spans="1:6">
      <c r="A16" s="93">
        <v>39813</v>
      </c>
      <c r="B16" s="94">
        <v>1257.5</v>
      </c>
      <c r="C16" s="94">
        <v>1393.89</v>
      </c>
      <c r="D16" s="94">
        <v>1776.22</v>
      </c>
      <c r="E16" s="94">
        <v>1190.98</v>
      </c>
      <c r="F16" s="94">
        <v>184.09</v>
      </c>
    </row>
    <row r="17" spans="1:6">
      <c r="A17" s="707">
        <v>40178</v>
      </c>
      <c r="B17" s="708">
        <v>1167.5999999999999</v>
      </c>
      <c r="C17" s="708">
        <v>1262.82</v>
      </c>
      <c r="D17" s="708">
        <v>1674.28</v>
      </c>
      <c r="E17" s="708">
        <v>1126.43</v>
      </c>
      <c r="F17" s="708">
        <v>171.06</v>
      </c>
    </row>
    <row r="18" spans="1:6">
      <c r="A18" s="707">
        <v>40543</v>
      </c>
      <c r="B18" s="708">
        <v>1138.9000000000001</v>
      </c>
      <c r="C18" s="708">
        <v>1397.08</v>
      </c>
      <c r="D18" s="708">
        <v>1513.6</v>
      </c>
      <c r="E18" s="708">
        <v>1218.01</v>
      </c>
      <c r="F18" s="708">
        <v>172.5</v>
      </c>
    </row>
    <row r="19" spans="1:6">
      <c r="A19" s="707">
        <v>40908</v>
      </c>
      <c r="B19" s="708">
        <v>1153.3</v>
      </c>
      <c r="C19" s="708">
        <v>1485.16</v>
      </c>
      <c r="D19" s="708">
        <v>1494.1</v>
      </c>
      <c r="E19" s="708">
        <v>1225.8699999999999</v>
      </c>
      <c r="F19" s="708">
        <v>182.51</v>
      </c>
    </row>
    <row r="20" spans="1:6">
      <c r="A20" s="96"/>
      <c r="B20" s="97"/>
      <c r="C20" s="97"/>
      <c r="D20" s="97"/>
      <c r="E20" s="97"/>
      <c r="F20" s="97"/>
    </row>
    <row r="21" spans="1:6">
      <c r="A21" s="96"/>
      <c r="B21" s="97"/>
      <c r="C21" s="97"/>
      <c r="D21" s="97"/>
      <c r="E21" s="97"/>
      <c r="F21" s="97"/>
    </row>
    <row r="22" spans="1:6">
      <c r="A22" s="96"/>
      <c r="B22" s="97"/>
      <c r="C22" s="97"/>
      <c r="D22" s="97"/>
      <c r="E22" s="97"/>
      <c r="F22" s="97"/>
    </row>
    <row r="23" spans="1:6">
      <c r="A23" s="96"/>
      <c r="B23" s="97"/>
      <c r="C23" s="97"/>
      <c r="D23" s="97"/>
      <c r="E23" s="97"/>
      <c r="F23" s="97"/>
    </row>
    <row r="24" spans="1:6">
      <c r="A24" s="98"/>
      <c r="B24" s="98"/>
      <c r="C24" s="98"/>
      <c r="D24" s="98"/>
      <c r="E24" s="98"/>
      <c r="F24" s="98"/>
    </row>
  </sheetData>
  <phoneticPr fontId="3" type="noConversion"/>
  <pageMargins left="0.15748031496062992" right="0.19685039370078741" top="0.35433070866141736" bottom="0.31496062992125984" header="0.27559055118110237" footer="0.19685039370078741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1">
    <tabColor rgb="FFFF0000"/>
  </sheetPr>
  <dimension ref="A1:P79"/>
  <sheetViews>
    <sheetView topLeftCell="A10"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TableofContents!$D$11</f>
        <v>기타당좌자산</v>
      </c>
      <c r="B2" s="449"/>
      <c r="C2" s="449"/>
      <c r="D2" s="449"/>
      <c r="E2" s="449"/>
      <c r="F2" s="449"/>
      <c r="G2" s="450"/>
      <c r="H2" s="1255" t="str">
        <f>"DIR - "&amp;TableofContents!$B$11</f>
        <v>DIR - D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1595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1306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4" t="s">
        <v>1596</v>
      </c>
      <c r="N19" s="247" t="s">
        <v>1307</v>
      </c>
    </row>
    <row r="20" spans="1:14" s="225" customFormat="1" ht="15.75" customHeight="1">
      <c r="D20" s="471" t="s">
        <v>1582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B22" s="224" t="s">
        <v>1070</v>
      </c>
      <c r="C22" s="224" t="s">
        <v>1597</v>
      </c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47" t="s">
        <v>1309</v>
      </c>
    </row>
    <row r="23" spans="1:14" s="225" customFormat="1" ht="15.75" customHeight="1">
      <c r="A23" s="224"/>
      <c r="B23" s="224"/>
      <c r="C23" s="224"/>
      <c r="D23" s="224" t="s">
        <v>1583</v>
      </c>
    </row>
    <row r="24" spans="1:14" s="225" customFormat="1" ht="15.75" customHeight="1">
      <c r="A24" s="224"/>
      <c r="B24" s="224"/>
      <c r="C24" s="224"/>
      <c r="D24" s="224"/>
    </row>
    <row r="25" spans="1:14" s="225" customFormat="1" ht="15.75" customHeight="1">
      <c r="A25" s="224"/>
      <c r="B25" s="224" t="s">
        <v>1332</v>
      </c>
      <c r="C25" s="224" t="s">
        <v>1598</v>
      </c>
      <c r="D25" s="224"/>
      <c r="N25" s="247" t="s">
        <v>1461</v>
      </c>
    </row>
    <row r="26" spans="1:14" s="225" customFormat="1" ht="15.75" customHeight="1">
      <c r="A26" s="224"/>
      <c r="B26" s="224"/>
      <c r="C26" s="224"/>
      <c r="D26" s="224"/>
      <c r="N26" s="247"/>
    </row>
    <row r="27" spans="1:14" s="225" customFormat="1" ht="15.75" customHeight="1">
      <c r="A27" s="224"/>
      <c r="B27" s="224" t="s">
        <v>1360</v>
      </c>
      <c r="C27" s="224" t="s">
        <v>1599</v>
      </c>
      <c r="D27" s="224"/>
      <c r="N27" s="247" t="s">
        <v>1585</v>
      </c>
    </row>
    <row r="28" spans="1:14" s="225" customFormat="1" ht="15.75" customHeight="1">
      <c r="A28" s="224"/>
      <c r="B28" s="224"/>
      <c r="C28" s="224"/>
      <c r="D28" s="224"/>
      <c r="N28" s="247"/>
    </row>
    <row r="29" spans="1:14" s="225" customFormat="1" ht="15.75" customHeight="1">
      <c r="B29" s="253" t="s">
        <v>1371</v>
      </c>
      <c r="C29" s="224" t="s">
        <v>1600</v>
      </c>
      <c r="D29" s="224"/>
      <c r="N29" s="247" t="s">
        <v>1470</v>
      </c>
    </row>
    <row r="30" spans="1:14" s="225" customFormat="1" ht="15.75" customHeight="1">
      <c r="D30" s="472" t="s">
        <v>1586</v>
      </c>
      <c r="N30" s="247"/>
    </row>
    <row r="31" spans="1:14" s="225" customFormat="1" ht="15.75" customHeight="1">
      <c r="D31" s="472"/>
      <c r="N31" s="247"/>
    </row>
    <row r="32" spans="1:14" s="225" customFormat="1" ht="15.75" customHeight="1">
      <c r="B32" s="224" t="s">
        <v>1375</v>
      </c>
      <c r="C32" s="224" t="s">
        <v>1601</v>
      </c>
      <c r="D32" s="472"/>
      <c r="N32" s="247" t="s">
        <v>1313</v>
      </c>
    </row>
    <row r="33" spans="2:14" s="225" customFormat="1" ht="15.75" customHeight="1">
      <c r="C33" s="224"/>
      <c r="D33" s="472"/>
      <c r="N33" s="247"/>
    </row>
    <row r="34" spans="2:14" s="225" customFormat="1" ht="15.75" customHeight="1">
      <c r="B34" s="224" t="s">
        <v>1376</v>
      </c>
      <c r="C34" s="224" t="s">
        <v>1509</v>
      </c>
      <c r="D34" s="224"/>
      <c r="N34" s="247" t="s">
        <v>1588</v>
      </c>
    </row>
    <row r="35" spans="2:14" s="225" customFormat="1" ht="15.75" customHeight="1">
      <c r="D35" s="472" t="s">
        <v>1587</v>
      </c>
      <c r="N35" s="475"/>
    </row>
    <row r="36" spans="2:14" s="225" customFormat="1" ht="15.75" customHeight="1">
      <c r="D36" s="224"/>
      <c r="N36" s="475"/>
    </row>
    <row r="37" spans="2:14" s="225" customFormat="1" ht="15.75" customHeight="1">
      <c r="B37" s="224" t="s">
        <v>1379</v>
      </c>
      <c r="C37" s="224" t="s">
        <v>1602</v>
      </c>
      <c r="D37" s="224"/>
      <c r="N37" s="247" t="s">
        <v>1589</v>
      </c>
    </row>
    <row r="38" spans="2:14" s="225" customFormat="1" ht="15.75" customHeight="1">
      <c r="D38" s="472" t="s">
        <v>1590</v>
      </c>
      <c r="N38" s="247"/>
    </row>
    <row r="39" spans="2:14" s="225" customFormat="1" ht="15.75" customHeight="1">
      <c r="D39" s="224" t="s">
        <v>1591</v>
      </c>
      <c r="N39" s="247"/>
    </row>
    <row r="40" spans="2:14" s="225" customFormat="1" ht="15.75" customHeight="1">
      <c r="D40" s="224"/>
      <c r="N40" s="247"/>
    </row>
    <row r="41" spans="2:14" s="225" customFormat="1" ht="15.75" customHeight="1">
      <c r="B41" s="224" t="s">
        <v>1381</v>
      </c>
      <c r="C41" s="224" t="s">
        <v>1603</v>
      </c>
      <c r="D41" s="224"/>
      <c r="N41" s="247" t="s">
        <v>1592</v>
      </c>
    </row>
    <row r="42" spans="2:14" s="225" customFormat="1" ht="15.75" customHeight="1">
      <c r="D42" s="472" t="s">
        <v>1593</v>
      </c>
      <c r="N42" s="247"/>
    </row>
    <row r="43" spans="2:14" s="225" customFormat="1" ht="15.75" customHeight="1">
      <c r="D43" s="472" t="s">
        <v>1594</v>
      </c>
      <c r="N43" s="247"/>
    </row>
    <row r="44" spans="2:14" s="225" customFormat="1" ht="15.75" customHeight="1">
      <c r="D44" s="224"/>
      <c r="N44" s="247"/>
    </row>
    <row r="45" spans="2:14" s="225" customFormat="1" ht="15.75" customHeight="1">
      <c r="B45" s="224" t="s">
        <v>1383</v>
      </c>
      <c r="C45" s="224" t="s">
        <v>1386</v>
      </c>
      <c r="D45" s="224"/>
      <c r="N45" s="247" t="s">
        <v>1311</v>
      </c>
    </row>
    <row r="46" spans="2:14" s="225" customFormat="1" ht="15.75" customHeight="1">
      <c r="D46" s="472" t="s">
        <v>1604</v>
      </c>
    </row>
    <row r="47" spans="2:14" s="225" customFormat="1" ht="15.75" customHeight="1">
      <c r="D47" s="472" t="s">
        <v>1605</v>
      </c>
    </row>
    <row r="48" spans="2:14" s="225" customFormat="1" ht="15.75" customHeight="1">
      <c r="D48" s="472" t="s">
        <v>1606</v>
      </c>
    </row>
    <row r="49" spans="1:14" s="225" customFormat="1" ht="15.75" customHeight="1">
      <c r="D49" s="472" t="s">
        <v>1607</v>
      </c>
    </row>
    <row r="50" spans="1:14" s="229" customFormat="1" ht="15.75" customHeight="1">
      <c r="A50" s="253"/>
      <c r="B50" s="253"/>
      <c r="C50" s="224"/>
      <c r="D50" s="224"/>
      <c r="E50" s="225"/>
      <c r="F50" s="225"/>
      <c r="G50" s="225"/>
      <c r="H50" s="225"/>
      <c r="I50" s="225"/>
      <c r="J50" s="225"/>
      <c r="K50" s="225"/>
      <c r="L50" s="225"/>
    </row>
    <row r="51" spans="1:14" s="225" customFormat="1" ht="15.75" customHeight="1">
      <c r="A51" s="264"/>
      <c r="B51" s="224" t="s">
        <v>1384</v>
      </c>
      <c r="C51" s="224" t="s">
        <v>1391</v>
      </c>
      <c r="D51" s="224"/>
    </row>
    <row r="52" spans="1:14" s="225" customFormat="1" ht="15.75" customHeight="1">
      <c r="A52" s="264"/>
      <c r="B52" s="264"/>
    </row>
    <row r="53" spans="1:14" s="225" customFormat="1" ht="15.75" customHeight="1">
      <c r="A53" s="264"/>
      <c r="B53" s="264"/>
      <c r="C53" s="224"/>
      <c r="D53" s="224"/>
    </row>
    <row r="54" spans="1:14" s="225" customFormat="1" ht="15.75" customHeight="1">
      <c r="A54" s="264"/>
      <c r="B54" s="264"/>
      <c r="D54" s="224"/>
    </row>
    <row r="55" spans="1:14" s="225" customFormat="1" ht="15.75" customHeight="1">
      <c r="A55" s="264"/>
      <c r="B55" s="264"/>
    </row>
    <row r="56" spans="1:14" s="225" customFormat="1" ht="15.75" customHeight="1">
      <c r="A56" s="264"/>
      <c r="B56" s="264"/>
      <c r="C56" s="224"/>
      <c r="D56" s="224"/>
    </row>
    <row r="57" spans="1:14" s="225" customFormat="1" ht="15.75" customHeight="1">
      <c r="A57" s="264"/>
      <c r="B57" s="264"/>
    </row>
    <row r="58" spans="1:14" s="225" customFormat="1" ht="15.75" customHeight="1">
      <c r="A58" s="264"/>
      <c r="B58" s="264"/>
      <c r="C58" s="224"/>
      <c r="D58" s="224"/>
    </row>
    <row r="59" spans="1:14" s="225" customFormat="1" ht="15.75" customHeight="1">
      <c r="A59" s="264"/>
      <c r="B59" s="264"/>
    </row>
    <row r="60" spans="1:14" s="225" customFormat="1" ht="15.75" customHeight="1">
      <c r="A60" s="264"/>
      <c r="B60" s="253"/>
      <c r="N60" s="247"/>
    </row>
    <row r="61" spans="1:14" s="225" customFormat="1" ht="15.75" customHeight="1">
      <c r="A61" s="264"/>
      <c r="B61" s="264"/>
    </row>
    <row r="62" spans="1:14" s="225" customFormat="1" ht="15.75" customHeight="1">
      <c r="A62" s="264"/>
      <c r="B62" s="253"/>
      <c r="C62" s="224"/>
      <c r="N62" s="247"/>
    </row>
    <row r="63" spans="1:14" s="225" customFormat="1" ht="15.75" customHeight="1">
      <c r="A63" s="264"/>
      <c r="B63" s="264"/>
    </row>
    <row r="64" spans="1:14" s="225" customFormat="1" ht="15.75" customHeight="1">
      <c r="A64" s="264"/>
      <c r="B64" s="253"/>
      <c r="C64" s="224"/>
      <c r="N64" s="247"/>
    </row>
    <row r="65" spans="1:14" s="225" customFormat="1" ht="15.75" customHeight="1">
      <c r="A65" s="264"/>
      <c r="B65" s="264"/>
      <c r="D65" s="224"/>
    </row>
    <row r="66" spans="1:14" s="225" customFormat="1" ht="15.75" customHeight="1">
      <c r="A66" s="264"/>
      <c r="B66" s="264"/>
      <c r="D66" s="224"/>
    </row>
    <row r="67" spans="1:14" s="225" customFormat="1" ht="15.75" customHeight="1">
      <c r="A67" s="264"/>
      <c r="B67" s="264"/>
    </row>
    <row r="68" spans="1:14" s="225" customFormat="1" ht="15.75" customHeight="1">
      <c r="A68" s="264"/>
      <c r="B68" s="253"/>
      <c r="C68" s="224"/>
      <c r="N68" s="247"/>
    </row>
    <row r="69" spans="1:14" s="225" customFormat="1" ht="15.75" customHeight="1">
      <c r="A69" s="264"/>
      <c r="B69" s="264"/>
    </row>
    <row r="70" spans="1:14" s="225" customFormat="1" ht="15.75" customHeight="1">
      <c r="B70" s="224"/>
      <c r="C70" s="224"/>
      <c r="N70" s="247"/>
    </row>
    <row r="71" spans="1:14" s="225" customFormat="1" ht="15.75" customHeight="1"/>
    <row r="72" spans="1:14" s="225" customFormat="1" ht="15.75" customHeight="1">
      <c r="B72" s="224"/>
      <c r="C72" s="224"/>
      <c r="N72" s="247"/>
    </row>
    <row r="73" spans="1:14" s="225" customFormat="1" ht="15.75" customHeight="1"/>
    <row r="74" spans="1:14" s="225" customFormat="1" ht="15.75" customHeight="1">
      <c r="B74" s="224"/>
      <c r="C74" s="227"/>
      <c r="N74" s="252"/>
    </row>
    <row r="75" spans="1:14" s="225" customFormat="1" ht="15.75" customHeight="1">
      <c r="D75" s="223"/>
    </row>
    <row r="76" spans="1:14" s="225" customFormat="1" ht="15.75" customHeight="1">
      <c r="D76" s="223"/>
    </row>
    <row r="77" spans="1:14" s="225" customFormat="1" ht="15.75" customHeight="1">
      <c r="D77" s="223"/>
    </row>
    <row r="78" spans="1:14" s="225" customFormat="1" ht="15.75" customHeight="1"/>
    <row r="79" spans="1:14" s="225" customFormat="1" ht="15.75" customHeight="1">
      <c r="B79" s="224"/>
      <c r="C79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2">
    <tabColor rgb="FF00B050"/>
  </sheetPr>
  <dimension ref="A1:L34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2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240</v>
      </c>
      <c r="G1" s="1272"/>
      <c r="H1" s="1273" t="s">
        <v>241</v>
      </c>
      <c r="I1" s="1273"/>
      <c r="J1" s="374" t="s">
        <v>242</v>
      </c>
    </row>
    <row r="2" spans="1:12" ht="15.75" customHeight="1">
      <c r="A2" s="375" t="str">
        <f>TableofContents!$D$11</f>
        <v>기타당좌자산</v>
      </c>
      <c r="B2" s="446"/>
      <c r="C2" s="446"/>
      <c r="D2" s="446"/>
      <c r="E2" s="446"/>
      <c r="F2" s="1274" t="str">
        <f>TableofContents!$B$11</f>
        <v>D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2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4" spans="1:12" ht="15.75" customHeight="1">
      <c r="L4" s="243"/>
    </row>
    <row r="5" spans="1:12" ht="15.75" customHeight="1">
      <c r="L5" s="243"/>
    </row>
    <row r="6" spans="1:12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  <c r="L6" s="242"/>
    </row>
    <row r="7" spans="1:12" ht="15.75" customHeight="1">
      <c r="A7" s="230"/>
      <c r="B7" s="231" t="str">
        <f>FS_worksheet!C20</f>
        <v xml:space="preserve">      선    납   세   금</v>
      </c>
      <c r="C7" s="230"/>
      <c r="D7" s="230">
        <f>VLOOKUP($B7,FS_worksheet!$C$11:$H$116,3,FALSE)</f>
        <v>46406200</v>
      </c>
      <c r="E7" s="230"/>
      <c r="F7" s="230">
        <f t="shared" ref="F7:F14" si="0">H7+J7-D7</f>
        <v>-23437614</v>
      </c>
      <c r="G7" s="232"/>
      <c r="H7" s="230"/>
      <c r="I7" s="230"/>
      <c r="J7" s="230">
        <f>VLOOKUP($B7,FS_worksheet!$C$11:$H$116,5,FALSE)</f>
        <v>22968586</v>
      </c>
      <c r="K7" s="233"/>
      <c r="L7" s="242"/>
    </row>
    <row r="8" spans="1:12" s="233" customFormat="1" ht="15.75" customHeight="1">
      <c r="B8" s="234" t="e">
        <f>FS_worksheet!C21</f>
        <v>#REF!</v>
      </c>
      <c r="D8" s="233" t="e">
        <f>VLOOKUP($B8,FS_worksheet!$C$11:$H$116,3,FALSE)</f>
        <v>#REF!</v>
      </c>
      <c r="F8" s="233" t="e">
        <f t="shared" si="0"/>
        <v>#REF!</v>
      </c>
      <c r="G8" s="235"/>
      <c r="J8" s="233" t="e">
        <f>VLOOKUP($B8,FS_worksheet!$C$11:$H$116,5,FALSE)</f>
        <v>#REF!</v>
      </c>
      <c r="L8" s="239"/>
    </row>
    <row r="9" spans="1:12" ht="15.75" customHeight="1">
      <c r="A9" s="230"/>
      <c r="B9" s="231" t="e">
        <f>FS_worksheet!C22</f>
        <v>#REF!</v>
      </c>
      <c r="C9" s="230"/>
      <c r="D9" s="230" t="e">
        <f>VLOOKUP($B9,FS_worksheet!$C$11:$H$116,3,FALSE)</f>
        <v>#REF!</v>
      </c>
      <c r="E9" s="230"/>
      <c r="F9" s="230" t="e">
        <f t="shared" si="0"/>
        <v>#REF!</v>
      </c>
      <c r="G9" s="232"/>
      <c r="H9" s="230"/>
      <c r="I9" s="230"/>
      <c r="J9" s="230" t="e">
        <f>VLOOKUP($B9,FS_worksheet!$C$11:$H$116,5,FALSE)</f>
        <v>#REF!</v>
      </c>
      <c r="K9" s="233"/>
      <c r="L9" s="242"/>
    </row>
    <row r="10" spans="1:12" s="233" customFormat="1" ht="15.75" customHeight="1">
      <c r="B10" s="234" t="e">
        <f>FS_worksheet!C23</f>
        <v>#REF!</v>
      </c>
      <c r="D10" s="233" t="e">
        <f>VLOOKUP($B10,FS_worksheet!$C$11:$H$116,3,FALSE)</f>
        <v>#REF!</v>
      </c>
      <c r="F10" s="233" t="e">
        <f t="shared" si="0"/>
        <v>#REF!</v>
      </c>
      <c r="G10" s="235"/>
      <c r="J10" s="233" t="e">
        <f>VLOOKUP($B10,FS_worksheet!$C$11:$H$116,5,FALSE)</f>
        <v>#REF!</v>
      </c>
      <c r="L10" s="239"/>
    </row>
    <row r="11" spans="1:12" ht="15.75" customHeight="1">
      <c r="A11" s="230"/>
      <c r="B11" s="231" t="e">
        <f>FS_worksheet!C24</f>
        <v>#REF!</v>
      </c>
      <c r="C11" s="230"/>
      <c r="D11" s="230" t="e">
        <f>VLOOKUP($B11,FS_worksheet!$C$11:$H$116,3,FALSE)</f>
        <v>#REF!</v>
      </c>
      <c r="E11" s="230"/>
      <c r="F11" s="230" t="e">
        <f t="shared" si="0"/>
        <v>#REF!</v>
      </c>
      <c r="G11" s="232"/>
      <c r="H11" s="230"/>
      <c r="I11" s="230"/>
      <c r="J11" s="230" t="e">
        <f>VLOOKUP($B11,FS_worksheet!$C$11:$H$116,5,FALSE)</f>
        <v>#REF!</v>
      </c>
      <c r="K11" s="233"/>
      <c r="L11" s="243"/>
    </row>
    <row r="12" spans="1:12" ht="15.75" customHeight="1">
      <c r="A12" s="233"/>
      <c r="B12" s="234" t="e">
        <f>FS_worksheet!C25</f>
        <v>#REF!</v>
      </c>
      <c r="C12" s="233"/>
      <c r="D12" s="233" t="e">
        <f>VLOOKUP($B12,FS_worksheet!$C$11:$H$116,3,FALSE)</f>
        <v>#REF!</v>
      </c>
      <c r="E12" s="233"/>
      <c r="F12" s="233" t="e">
        <f t="shared" si="0"/>
        <v>#REF!</v>
      </c>
      <c r="G12" s="235"/>
      <c r="H12" s="233"/>
      <c r="I12" s="233"/>
      <c r="J12" s="233" t="e">
        <f>VLOOKUP($B12,FS_worksheet!$C$11:$H$116,5,FALSE)</f>
        <v>#REF!</v>
      </c>
      <c r="K12" s="233"/>
      <c r="L12" s="243"/>
    </row>
    <row r="13" spans="1:12" s="233" customFormat="1" ht="15.75" customHeight="1">
      <c r="A13" s="230"/>
      <c r="B13" s="231" t="e">
        <f>FS_worksheet!C26</f>
        <v>#REF!</v>
      </c>
      <c r="C13" s="230"/>
      <c r="D13" s="230" t="e">
        <f>VLOOKUP($B13,FS_worksheet!$C$11:$H$116,3,FALSE)</f>
        <v>#REF!</v>
      </c>
      <c r="E13" s="230"/>
      <c r="F13" s="230" t="e">
        <f t="shared" si="0"/>
        <v>#REF!</v>
      </c>
      <c r="G13" s="232"/>
      <c r="H13" s="230"/>
      <c r="I13" s="230"/>
      <c r="J13" s="230" t="e">
        <f>VLOOKUP($B13,FS_worksheet!$C$11:$H$116,5,FALSE)</f>
        <v>#REF!</v>
      </c>
      <c r="L13" s="239"/>
    </row>
    <row r="14" spans="1:12" ht="15.75" customHeight="1">
      <c r="A14" s="233"/>
      <c r="B14" s="234" t="s">
        <v>243</v>
      </c>
      <c r="C14" s="233"/>
      <c r="D14" s="233" t="e">
        <f>VLOOKUP($B14,FS_worksheet!$C$11:$H$116,3,FALSE)</f>
        <v>#N/A</v>
      </c>
      <c r="E14" s="233"/>
      <c r="F14" s="233" t="e">
        <f t="shared" si="0"/>
        <v>#N/A</v>
      </c>
      <c r="G14" s="235"/>
      <c r="H14" s="233"/>
      <c r="I14" s="233"/>
      <c r="J14" s="233" t="e">
        <f>VLOOKUP($B14,FS_worksheet!$C$11:$H$116,5,FALSE)</f>
        <v>#N/A</v>
      </c>
      <c r="K14" s="233"/>
      <c r="L14" s="243"/>
    </row>
    <row r="15" spans="1:12" ht="15.75" customHeight="1">
      <c r="L15" s="243"/>
    </row>
    <row r="16" spans="1:12" ht="15.75" customHeight="1">
      <c r="L16" s="243"/>
    </row>
    <row r="17" spans="1:12" ht="15.75" customHeight="1">
      <c r="A17" s="222" t="s">
        <v>244</v>
      </c>
      <c r="L17" s="243"/>
    </row>
    <row r="18" spans="1:12" ht="15.75" customHeight="1">
      <c r="A18" s="227" t="s">
        <v>245</v>
      </c>
      <c r="B18" s="223" t="s">
        <v>809</v>
      </c>
    </row>
    <row r="19" spans="1:12" ht="15.75" customHeight="1">
      <c r="A19" s="227" t="s">
        <v>34</v>
      </c>
      <c r="B19" s="223" t="s">
        <v>810</v>
      </c>
    </row>
    <row r="20" spans="1:12" ht="15.75" customHeight="1">
      <c r="A20" s="227" t="s">
        <v>35</v>
      </c>
      <c r="B20" s="223" t="s">
        <v>811</v>
      </c>
    </row>
    <row r="21" spans="1:12" ht="15.75" customHeight="1">
      <c r="A21" s="227" t="s">
        <v>36</v>
      </c>
      <c r="B21" s="223" t="s">
        <v>812</v>
      </c>
    </row>
    <row r="22" spans="1:12" ht="15.75" customHeight="1">
      <c r="A22" s="227" t="s">
        <v>39</v>
      </c>
      <c r="B22" s="223" t="s">
        <v>813</v>
      </c>
    </row>
    <row r="23" spans="1:12" ht="15.75" customHeight="1">
      <c r="A23" s="227"/>
    </row>
    <row r="25" spans="1:12" ht="15.75" customHeight="1">
      <c r="A25" s="222" t="s">
        <v>246</v>
      </c>
    </row>
    <row r="26" spans="1:12" ht="15.75" customHeight="1">
      <c r="A26" s="227" t="s">
        <v>247</v>
      </c>
      <c r="B26" s="223" t="s">
        <v>807</v>
      </c>
    </row>
    <row r="27" spans="1:12" ht="15.75" customHeight="1">
      <c r="A27" s="227" t="s">
        <v>34</v>
      </c>
      <c r="B27" s="223" t="s">
        <v>808</v>
      </c>
    </row>
    <row r="28" spans="1:12" ht="15.75" customHeight="1">
      <c r="A28" s="227"/>
    </row>
    <row r="29" spans="1:12" s="225" customFormat="1" ht="15.75" customHeight="1">
      <c r="A29" s="228" t="s">
        <v>248</v>
      </c>
    </row>
    <row r="30" spans="1:12" s="225" customFormat="1" ht="15.75" customHeight="1"/>
    <row r="31" spans="1:12" ht="15.75" customHeight="1">
      <c r="A31" s="225"/>
      <c r="B31" s="225"/>
      <c r="C31" s="225"/>
      <c r="D31" s="225"/>
      <c r="E31" s="225"/>
      <c r="F31" s="225"/>
    </row>
    <row r="32" spans="1:12" ht="15.75" customHeight="1">
      <c r="A32" s="228" t="s">
        <v>762</v>
      </c>
      <c r="B32" s="225"/>
      <c r="C32" s="225"/>
      <c r="D32" s="225"/>
      <c r="E32" s="225"/>
      <c r="F32" s="225"/>
    </row>
    <row r="33" spans="1:6" ht="15.75" customHeight="1">
      <c r="A33" s="253" t="s">
        <v>761</v>
      </c>
      <c r="B33" s="225"/>
      <c r="C33" s="225"/>
      <c r="D33" s="225"/>
      <c r="E33" s="225"/>
      <c r="F33" s="225"/>
    </row>
    <row r="34" spans="1:6" ht="15.75" customHeight="1">
      <c r="A34" s="264"/>
      <c r="B34" s="225" t="s">
        <v>754</v>
      </c>
      <c r="C34" s="225"/>
      <c r="D34" s="225"/>
      <c r="E34" s="225"/>
      <c r="F34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P118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TableofContents!$D$12</f>
        <v>재고자산</v>
      </c>
      <c r="B2" s="449"/>
      <c r="C2" s="449"/>
      <c r="D2" s="449"/>
      <c r="E2" s="449"/>
      <c r="F2" s="449"/>
      <c r="G2" s="450"/>
      <c r="H2" s="1255" t="str">
        <f>"DIR - "&amp;TableofContents!$B$12</f>
        <v>DIR - E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1615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1306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4" t="s">
        <v>1616</v>
      </c>
      <c r="N19" s="247" t="s">
        <v>1307</v>
      </c>
    </row>
    <row r="20" spans="1:14" s="225" customFormat="1" ht="15.75" customHeight="1">
      <c r="D20" s="471" t="s">
        <v>1608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B22" s="224" t="s">
        <v>1070</v>
      </c>
      <c r="C22" s="224" t="s">
        <v>1617</v>
      </c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47" t="s">
        <v>1609</v>
      </c>
    </row>
    <row r="23" spans="1:14" s="225" customFormat="1" ht="15.75" customHeight="1">
      <c r="A23" s="224"/>
      <c r="B23" s="224"/>
      <c r="C23" s="224"/>
      <c r="D23" s="224" t="s">
        <v>1583</v>
      </c>
    </row>
    <row r="24" spans="1:14" s="225" customFormat="1" ht="15.75" customHeight="1">
      <c r="A24" s="224"/>
      <c r="B24" s="224"/>
      <c r="C24" s="224"/>
      <c r="D24" s="472" t="s">
        <v>1623</v>
      </c>
    </row>
    <row r="25" spans="1:14" s="225" customFormat="1" ht="15.75" customHeight="1">
      <c r="A25" s="224"/>
      <c r="B25" s="224"/>
      <c r="C25" s="224"/>
      <c r="D25" s="472" t="s">
        <v>1624</v>
      </c>
    </row>
    <row r="26" spans="1:14" s="225" customFormat="1" ht="15.75" customHeight="1">
      <c r="A26" s="224"/>
      <c r="B26" s="224"/>
      <c r="C26" s="224"/>
      <c r="D26" s="472" t="s">
        <v>1625</v>
      </c>
    </row>
    <row r="27" spans="1:14" s="225" customFormat="1" ht="15.75" customHeight="1">
      <c r="A27" s="224"/>
      <c r="B27" s="224"/>
      <c r="C27" s="224"/>
      <c r="D27" s="472" t="s">
        <v>1626</v>
      </c>
    </row>
    <row r="28" spans="1:14" s="225" customFormat="1" ht="15.75" customHeight="1">
      <c r="A28" s="224"/>
      <c r="B28" s="224"/>
      <c r="C28" s="224"/>
      <c r="D28" s="472" t="s">
        <v>1627</v>
      </c>
    </row>
    <row r="29" spans="1:14" s="225" customFormat="1" ht="15.75" customHeight="1">
      <c r="A29" s="224"/>
      <c r="B29" s="224"/>
      <c r="C29" s="224"/>
      <c r="D29" s="472" t="s">
        <v>1628</v>
      </c>
    </row>
    <row r="30" spans="1:14" s="225" customFormat="1" ht="15.75" customHeight="1">
      <c r="A30" s="224"/>
      <c r="B30" s="224"/>
      <c r="C30" s="224"/>
      <c r="D30" s="472" t="s">
        <v>1629</v>
      </c>
    </row>
    <row r="31" spans="1:14" s="225" customFormat="1" ht="15.75" customHeight="1">
      <c r="A31" s="224"/>
      <c r="B31" s="224"/>
      <c r="C31" s="224"/>
      <c r="D31" s="472" t="s">
        <v>1630</v>
      </c>
    </row>
    <row r="32" spans="1:14" s="225" customFormat="1" ht="15.75" customHeight="1">
      <c r="A32" s="224"/>
      <c r="B32" s="224"/>
      <c r="C32" s="224"/>
      <c r="D32" s="472" t="s">
        <v>1631</v>
      </c>
    </row>
    <row r="33" spans="1:14" s="225" customFormat="1" ht="15.75" customHeight="1">
      <c r="A33" s="224"/>
      <c r="B33" s="224"/>
      <c r="C33" s="224"/>
      <c r="D33" s="472" t="s">
        <v>1632</v>
      </c>
    </row>
    <row r="34" spans="1:14" s="225" customFormat="1" ht="15.75" customHeight="1">
      <c r="A34" s="224"/>
      <c r="B34" s="224"/>
      <c r="C34" s="224"/>
      <c r="D34" s="224" t="s">
        <v>1633</v>
      </c>
    </row>
    <row r="35" spans="1:14" s="225" customFormat="1" ht="15.75" customHeight="1">
      <c r="A35" s="224"/>
      <c r="B35" s="224"/>
      <c r="C35" s="224"/>
      <c r="D35" s="224" t="s">
        <v>1634</v>
      </c>
    </row>
    <row r="36" spans="1:14" s="225" customFormat="1" ht="15.75" customHeight="1">
      <c r="A36" s="224"/>
      <c r="B36" s="224"/>
      <c r="C36" s="224"/>
      <c r="D36" s="224" t="s">
        <v>1635</v>
      </c>
    </row>
    <row r="37" spans="1:14" s="225" customFormat="1" ht="15.75" customHeight="1">
      <c r="A37" s="224"/>
      <c r="B37" s="224"/>
      <c r="C37" s="224"/>
      <c r="D37" s="224"/>
    </row>
    <row r="38" spans="1:14" s="225" customFormat="1" ht="15.75" customHeight="1">
      <c r="A38" s="224"/>
      <c r="B38" s="224" t="s">
        <v>1332</v>
      </c>
      <c r="C38" s="224" t="s">
        <v>1618</v>
      </c>
      <c r="D38" s="224"/>
      <c r="N38" s="247" t="s">
        <v>1610</v>
      </c>
    </row>
    <row r="39" spans="1:14" s="225" customFormat="1" ht="15.75" customHeight="1">
      <c r="A39" s="224"/>
      <c r="B39" s="224"/>
      <c r="C39" s="224"/>
      <c r="D39" s="472" t="s">
        <v>1636</v>
      </c>
      <c r="N39" s="247"/>
    </row>
    <row r="40" spans="1:14" s="225" customFormat="1" ht="15.75" customHeight="1">
      <c r="A40" s="224"/>
      <c r="B40" s="224"/>
      <c r="C40" s="224"/>
      <c r="D40" s="472" t="s">
        <v>1637</v>
      </c>
      <c r="N40" s="247"/>
    </row>
    <row r="41" spans="1:14" s="225" customFormat="1" ht="15.75" customHeight="1">
      <c r="A41" s="224"/>
      <c r="B41" s="224"/>
      <c r="C41" s="224"/>
      <c r="D41" s="472" t="s">
        <v>1638</v>
      </c>
      <c r="N41" s="247"/>
    </row>
    <row r="42" spans="1:14" s="225" customFormat="1" ht="15.75" customHeight="1">
      <c r="A42" s="224"/>
      <c r="B42" s="224"/>
      <c r="C42" s="224"/>
      <c r="D42" s="224"/>
      <c r="N42" s="247"/>
    </row>
    <row r="43" spans="1:14" s="225" customFormat="1" ht="15.75" customHeight="1">
      <c r="A43" s="224"/>
      <c r="B43" s="224" t="s">
        <v>1360</v>
      </c>
      <c r="C43" s="224" t="s">
        <v>1619</v>
      </c>
      <c r="D43" s="224"/>
      <c r="N43" s="247" t="s">
        <v>1584</v>
      </c>
    </row>
    <row r="44" spans="1:14" s="225" customFormat="1" ht="15.75" customHeight="1">
      <c r="A44" s="224"/>
      <c r="B44" s="224"/>
      <c r="C44" s="224"/>
      <c r="D44" s="472" t="s">
        <v>1639</v>
      </c>
      <c r="N44" s="247"/>
    </row>
    <row r="45" spans="1:14" s="225" customFormat="1" ht="15.75" customHeight="1">
      <c r="A45" s="224"/>
      <c r="B45" s="224"/>
      <c r="C45" s="224"/>
      <c r="D45" s="472" t="s">
        <v>1640</v>
      </c>
      <c r="N45" s="247"/>
    </row>
    <row r="46" spans="1:14" s="225" customFormat="1" ht="15.75" customHeight="1">
      <c r="A46" s="224"/>
      <c r="B46" s="224"/>
      <c r="C46" s="224"/>
      <c r="D46" s="472" t="s">
        <v>1641</v>
      </c>
      <c r="N46" s="247"/>
    </row>
    <row r="47" spans="1:14" s="225" customFormat="1" ht="15.75" customHeight="1">
      <c r="A47" s="224"/>
      <c r="B47" s="224"/>
      <c r="C47" s="224"/>
      <c r="D47" s="472" t="s">
        <v>1642</v>
      </c>
      <c r="N47" s="247"/>
    </row>
    <row r="48" spans="1:14" s="225" customFormat="1" ht="15.75" customHeight="1">
      <c r="A48" s="224"/>
      <c r="B48" s="224"/>
      <c r="C48" s="224"/>
      <c r="D48" s="472" t="s">
        <v>1643</v>
      </c>
      <c r="N48" s="247"/>
    </row>
    <row r="49" spans="1:14" s="225" customFormat="1" ht="15.75" customHeight="1">
      <c r="A49" s="224"/>
      <c r="B49" s="224"/>
      <c r="C49" s="224"/>
      <c r="D49" s="472" t="s">
        <v>1644</v>
      </c>
      <c r="N49" s="247"/>
    </row>
    <row r="50" spans="1:14" s="225" customFormat="1" ht="15.75" customHeight="1">
      <c r="A50" s="224"/>
      <c r="B50" s="224"/>
      <c r="C50" s="224"/>
      <c r="D50" s="224" t="s">
        <v>1645</v>
      </c>
      <c r="N50" s="247"/>
    </row>
    <row r="51" spans="1:14" s="225" customFormat="1" ht="15.75" customHeight="1">
      <c r="A51" s="224"/>
      <c r="B51" s="224"/>
      <c r="C51" s="224"/>
      <c r="D51" s="224" t="s">
        <v>1646</v>
      </c>
      <c r="N51" s="247"/>
    </row>
    <row r="52" spans="1:14" s="225" customFormat="1" ht="15.75" customHeight="1">
      <c r="A52" s="224"/>
      <c r="B52" s="224"/>
      <c r="C52" s="224"/>
      <c r="D52" s="472" t="s">
        <v>1647</v>
      </c>
      <c r="N52" s="247"/>
    </row>
    <row r="53" spans="1:14" s="225" customFormat="1" ht="15.75" customHeight="1">
      <c r="A53" s="224"/>
      <c r="B53" s="224"/>
      <c r="C53" s="224"/>
      <c r="D53" s="472" t="s">
        <v>1648</v>
      </c>
      <c r="N53" s="247"/>
    </row>
    <row r="54" spans="1:14" s="225" customFormat="1" ht="15.75" customHeight="1">
      <c r="A54" s="224"/>
      <c r="B54" s="224"/>
      <c r="C54" s="224"/>
      <c r="D54" s="472" t="s">
        <v>1649</v>
      </c>
      <c r="N54" s="247"/>
    </row>
    <row r="55" spans="1:14" s="225" customFormat="1" ht="15.75" customHeight="1">
      <c r="A55" s="224"/>
      <c r="B55" s="224"/>
      <c r="C55" s="224"/>
      <c r="D55" s="472" t="s">
        <v>1650</v>
      </c>
      <c r="N55" s="247"/>
    </row>
    <row r="56" spans="1:14" s="225" customFormat="1" ht="15.75" customHeight="1">
      <c r="A56" s="224"/>
      <c r="B56" s="224"/>
      <c r="C56" s="224"/>
      <c r="D56" s="472" t="s">
        <v>1651</v>
      </c>
      <c r="N56" s="247"/>
    </row>
    <row r="57" spans="1:14" s="225" customFormat="1" ht="15.75" customHeight="1">
      <c r="A57" s="224"/>
      <c r="B57" s="224"/>
      <c r="C57" s="224"/>
      <c r="D57" s="472" t="s">
        <v>1652</v>
      </c>
      <c r="N57" s="247"/>
    </row>
    <row r="58" spans="1:14" s="225" customFormat="1" ht="15.75" customHeight="1">
      <c r="A58" s="224"/>
      <c r="B58" s="224"/>
      <c r="C58" s="224"/>
      <c r="D58" s="472" t="s">
        <v>1653</v>
      </c>
      <c r="N58" s="247"/>
    </row>
    <row r="59" spans="1:14" s="225" customFormat="1" ht="15.75" customHeight="1">
      <c r="A59" s="224"/>
      <c r="B59" s="224"/>
      <c r="C59" s="224"/>
      <c r="D59" s="472" t="s">
        <v>1654</v>
      </c>
      <c r="N59" s="247"/>
    </row>
    <row r="60" spans="1:14" s="225" customFormat="1" ht="15.75" customHeight="1">
      <c r="A60" s="224"/>
      <c r="B60" s="224"/>
      <c r="C60" s="224"/>
      <c r="D60" s="472" t="s">
        <v>1655</v>
      </c>
      <c r="N60" s="247"/>
    </row>
    <row r="61" spans="1:14" s="225" customFormat="1" ht="15.75" customHeight="1">
      <c r="A61" s="224"/>
      <c r="B61" s="224"/>
      <c r="C61" s="224"/>
      <c r="D61" s="224" t="s">
        <v>1656</v>
      </c>
      <c r="N61" s="247"/>
    </row>
    <row r="62" spans="1:14" s="225" customFormat="1" ht="15.75" customHeight="1">
      <c r="A62" s="224"/>
      <c r="B62" s="224"/>
      <c r="C62" s="224"/>
      <c r="D62" s="224"/>
      <c r="N62" s="247"/>
    </row>
    <row r="63" spans="1:14" s="225" customFormat="1" ht="15.75" customHeight="1">
      <c r="B63" s="253" t="s">
        <v>1371</v>
      </c>
      <c r="C63" s="224" t="s">
        <v>1620</v>
      </c>
      <c r="D63" s="224"/>
      <c r="N63" s="247" t="s">
        <v>1588</v>
      </c>
    </row>
    <row r="64" spans="1:14" s="225" customFormat="1" ht="15.75" customHeight="1">
      <c r="D64" s="472" t="s">
        <v>1657</v>
      </c>
      <c r="N64" s="247"/>
    </row>
    <row r="65" spans="2:14" s="225" customFormat="1" ht="15.75" customHeight="1">
      <c r="D65" s="472" t="s">
        <v>1658</v>
      </c>
      <c r="N65" s="247"/>
    </row>
    <row r="66" spans="2:14" s="225" customFormat="1" ht="15.75" customHeight="1">
      <c r="D66" s="472"/>
      <c r="N66" s="247"/>
    </row>
    <row r="67" spans="2:14" s="225" customFormat="1" ht="15.75" customHeight="1">
      <c r="B67" s="224" t="s">
        <v>1375</v>
      </c>
      <c r="C67" s="224" t="s">
        <v>1621</v>
      </c>
      <c r="D67" s="472"/>
      <c r="N67" s="247" t="s">
        <v>1611</v>
      </c>
    </row>
    <row r="68" spans="2:14" s="225" customFormat="1" ht="15.75" customHeight="1">
      <c r="C68" s="224"/>
      <c r="D68" s="472"/>
      <c r="N68" s="247"/>
    </row>
    <row r="69" spans="2:14" s="225" customFormat="1" ht="15.75" customHeight="1">
      <c r="B69" s="224" t="s">
        <v>1376</v>
      </c>
      <c r="C69" s="224" t="s">
        <v>1622</v>
      </c>
      <c r="D69" s="224"/>
      <c r="N69" s="247" t="s">
        <v>1612</v>
      </c>
    </row>
    <row r="70" spans="2:14" s="225" customFormat="1" ht="15.75" customHeight="1">
      <c r="D70" s="472"/>
      <c r="N70" s="475"/>
    </row>
    <row r="71" spans="2:14" s="225" customFormat="1" ht="15.75" customHeight="1">
      <c r="D71" s="224"/>
      <c r="N71" s="475"/>
    </row>
    <row r="72" spans="2:14" s="225" customFormat="1" ht="15.75" customHeight="1">
      <c r="B72" s="224" t="s">
        <v>1379</v>
      </c>
      <c r="C72" s="224" t="s">
        <v>1659</v>
      </c>
      <c r="D72" s="224"/>
      <c r="N72" s="247" t="s">
        <v>1613</v>
      </c>
    </row>
    <row r="73" spans="2:14" s="225" customFormat="1" ht="15.75" customHeight="1">
      <c r="C73" s="224" t="s">
        <v>1660</v>
      </c>
      <c r="D73" s="472"/>
      <c r="N73" s="247"/>
    </row>
    <row r="74" spans="2:14" s="225" customFormat="1" ht="15.75" customHeight="1">
      <c r="C74" s="224" t="s">
        <v>1661</v>
      </c>
      <c r="D74" s="224"/>
      <c r="N74" s="247"/>
    </row>
    <row r="75" spans="2:14" s="225" customFormat="1" ht="15.75" customHeight="1">
      <c r="D75" s="224"/>
      <c r="N75" s="247"/>
    </row>
    <row r="76" spans="2:14" s="225" customFormat="1" ht="15.75" customHeight="1">
      <c r="B76" s="224" t="s">
        <v>1381</v>
      </c>
      <c r="C76" s="224" t="s">
        <v>1662</v>
      </c>
      <c r="D76" s="224"/>
      <c r="N76" s="247" t="s">
        <v>1614</v>
      </c>
    </row>
    <row r="77" spans="2:14" s="225" customFormat="1" ht="15.75" customHeight="1">
      <c r="C77" s="224" t="s">
        <v>1663</v>
      </c>
      <c r="D77" s="224"/>
      <c r="N77" s="247"/>
    </row>
    <row r="78" spans="2:14" s="225" customFormat="1" ht="15.75" customHeight="1">
      <c r="D78" s="224"/>
      <c r="N78" s="247"/>
    </row>
    <row r="79" spans="2:14" s="225" customFormat="1" ht="15.75" customHeight="1">
      <c r="B79" s="224" t="s">
        <v>1383</v>
      </c>
      <c r="C79" s="224" t="s">
        <v>1386</v>
      </c>
      <c r="D79" s="224"/>
      <c r="N79" s="247" t="s">
        <v>1311</v>
      </c>
    </row>
    <row r="80" spans="2:14" s="225" customFormat="1" ht="15.75" customHeight="1">
      <c r="D80" s="472" t="s">
        <v>1664</v>
      </c>
    </row>
    <row r="81" spans="1:12" s="225" customFormat="1" ht="15.75" customHeight="1">
      <c r="D81" s="472" t="s">
        <v>1665</v>
      </c>
    </row>
    <row r="82" spans="1:12" s="225" customFormat="1" ht="15.75" customHeight="1">
      <c r="D82" s="472" t="s">
        <v>1666</v>
      </c>
    </row>
    <row r="83" spans="1:12" s="225" customFormat="1" ht="15.75" customHeight="1">
      <c r="D83" s="472" t="s">
        <v>1667</v>
      </c>
    </row>
    <row r="84" spans="1:12" s="225" customFormat="1" ht="15.75" customHeight="1">
      <c r="D84" s="472" t="s">
        <v>1668</v>
      </c>
    </row>
    <row r="85" spans="1:12" s="225" customFormat="1" ht="15.75" customHeight="1">
      <c r="D85" s="472" t="s">
        <v>1669</v>
      </c>
    </row>
    <row r="86" spans="1:12" s="225" customFormat="1" ht="15.75" customHeight="1">
      <c r="D86" s="472" t="s">
        <v>1670</v>
      </c>
    </row>
    <row r="87" spans="1:12" s="225" customFormat="1" ht="15.75" customHeight="1">
      <c r="D87" s="472" t="s">
        <v>1671</v>
      </c>
    </row>
    <row r="88" spans="1:12" s="225" customFormat="1" ht="15.75" customHeight="1">
      <c r="D88" s="472" t="s">
        <v>1672</v>
      </c>
    </row>
    <row r="89" spans="1:12" s="229" customFormat="1" ht="15.75" customHeight="1">
      <c r="A89" s="253"/>
      <c r="B89" s="253"/>
      <c r="C89" s="224"/>
      <c r="D89" s="224"/>
      <c r="E89" s="225"/>
      <c r="F89" s="225"/>
      <c r="G89" s="225"/>
      <c r="H89" s="225"/>
      <c r="I89" s="225"/>
      <c r="J89" s="225"/>
      <c r="K89" s="225"/>
      <c r="L89" s="225"/>
    </row>
    <row r="90" spans="1:12" s="225" customFormat="1" ht="15.75" customHeight="1">
      <c r="A90" s="264"/>
      <c r="B90" s="224" t="s">
        <v>1384</v>
      </c>
      <c r="C90" s="224" t="s">
        <v>1391</v>
      </c>
      <c r="D90" s="224"/>
    </row>
    <row r="91" spans="1:12" s="225" customFormat="1" ht="15.75" customHeight="1">
      <c r="A91" s="264"/>
      <c r="B91" s="264"/>
    </row>
    <row r="92" spans="1:12" s="225" customFormat="1" ht="15.75" customHeight="1">
      <c r="A92" s="264"/>
      <c r="B92" s="264"/>
      <c r="C92" s="224"/>
      <c r="D92" s="224"/>
    </row>
    <row r="93" spans="1:12" s="225" customFormat="1" ht="15.75" customHeight="1">
      <c r="A93" s="264"/>
      <c r="B93" s="264"/>
      <c r="D93" s="224"/>
    </row>
    <row r="94" spans="1:12" s="225" customFormat="1" ht="15.75" customHeight="1">
      <c r="A94" s="264"/>
      <c r="B94" s="264"/>
    </row>
    <row r="95" spans="1:12" s="225" customFormat="1" ht="15.75" customHeight="1">
      <c r="A95" s="264"/>
      <c r="B95" s="264"/>
      <c r="C95" s="224"/>
      <c r="D95" s="224"/>
    </row>
    <row r="96" spans="1:12" s="225" customFormat="1" ht="15.75" customHeight="1">
      <c r="A96" s="264"/>
      <c r="B96" s="264"/>
    </row>
    <row r="97" spans="1:14" s="225" customFormat="1" ht="15.75" customHeight="1">
      <c r="A97" s="264"/>
      <c r="B97" s="264"/>
      <c r="C97" s="224"/>
      <c r="D97" s="224"/>
    </row>
    <row r="98" spans="1:14" s="225" customFormat="1" ht="15.75" customHeight="1">
      <c r="A98" s="264"/>
      <c r="B98" s="264"/>
    </row>
    <row r="99" spans="1:14" s="225" customFormat="1" ht="15.75" customHeight="1">
      <c r="A99" s="264"/>
      <c r="B99" s="253"/>
      <c r="N99" s="247"/>
    </row>
    <row r="100" spans="1:14" s="225" customFormat="1" ht="15.75" customHeight="1">
      <c r="A100" s="264"/>
      <c r="B100" s="264"/>
    </row>
    <row r="101" spans="1:14" s="225" customFormat="1" ht="15.75" customHeight="1">
      <c r="A101" s="264"/>
      <c r="B101" s="253"/>
      <c r="C101" s="224"/>
      <c r="N101" s="247"/>
    </row>
    <row r="102" spans="1:14" s="225" customFormat="1" ht="15.75" customHeight="1">
      <c r="A102" s="264"/>
      <c r="B102" s="264"/>
    </row>
    <row r="103" spans="1:14" s="225" customFormat="1" ht="15.75" customHeight="1">
      <c r="A103" s="264"/>
      <c r="B103" s="253"/>
      <c r="C103" s="224"/>
      <c r="N103" s="247"/>
    </row>
    <row r="104" spans="1:14" s="225" customFormat="1" ht="15.75" customHeight="1">
      <c r="A104" s="264"/>
      <c r="B104" s="264"/>
      <c r="D104" s="224"/>
    </row>
    <row r="105" spans="1:14" s="225" customFormat="1" ht="15.75" customHeight="1">
      <c r="A105" s="264"/>
      <c r="B105" s="264"/>
      <c r="D105" s="224"/>
    </row>
    <row r="106" spans="1:14" s="225" customFormat="1" ht="15.75" customHeight="1">
      <c r="A106" s="264"/>
      <c r="B106" s="264"/>
    </row>
    <row r="107" spans="1:14" s="225" customFormat="1" ht="15.75" customHeight="1">
      <c r="A107" s="264"/>
      <c r="B107" s="253"/>
      <c r="C107" s="224"/>
      <c r="N107" s="247"/>
    </row>
    <row r="108" spans="1:14" s="225" customFormat="1" ht="15.75" customHeight="1">
      <c r="A108" s="264"/>
      <c r="B108" s="264"/>
    </row>
    <row r="109" spans="1:14" s="225" customFormat="1" ht="15.75" customHeight="1">
      <c r="B109" s="224"/>
      <c r="C109" s="224"/>
      <c r="N109" s="247"/>
    </row>
    <row r="110" spans="1:14" s="225" customFormat="1" ht="15.75" customHeight="1"/>
    <row r="111" spans="1:14" s="225" customFormat="1" ht="15.75" customHeight="1">
      <c r="B111" s="224"/>
      <c r="C111" s="224"/>
      <c r="N111" s="247"/>
    </row>
    <row r="112" spans="1:14" s="225" customFormat="1" ht="15.75" customHeight="1"/>
    <row r="113" spans="2:14" s="225" customFormat="1" ht="15.75" customHeight="1">
      <c r="B113" s="224"/>
      <c r="C113" s="227"/>
      <c r="N113" s="252"/>
    </row>
    <row r="114" spans="2:14" s="225" customFormat="1" ht="15.75" customHeight="1">
      <c r="D114" s="223"/>
    </row>
    <row r="115" spans="2:14" s="225" customFormat="1" ht="15.75" customHeight="1">
      <c r="D115" s="223"/>
    </row>
    <row r="116" spans="2:14" s="225" customFormat="1" ht="15.75" customHeight="1">
      <c r="D116" s="223"/>
    </row>
    <row r="117" spans="2:14" s="225" customFormat="1" ht="15.75" customHeight="1"/>
    <row r="118" spans="2:14" s="225" customFormat="1" ht="15.75" customHeight="1">
      <c r="B118" s="224"/>
      <c r="C118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44">
    <tabColor rgb="FFFF0000"/>
  </sheetPr>
  <dimension ref="A1:P92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1319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TableofContents!$D$13</f>
        <v>재고자산실사입회</v>
      </c>
      <c r="B2" s="449"/>
      <c r="C2" s="449"/>
      <c r="D2" s="449"/>
      <c r="E2" s="449"/>
      <c r="F2" s="449"/>
      <c r="G2" s="450"/>
      <c r="H2" s="1255" t="str">
        <f>"DIR - "&amp;TableofContents!$B$13</f>
        <v>DIR - E100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05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1673</v>
      </c>
      <c r="P14" s="470" t="s">
        <v>1674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1700</v>
      </c>
      <c r="N16" s="247"/>
    </row>
    <row r="17" spans="1:14" s="225" customFormat="1" ht="15.75" customHeight="1">
      <c r="A17" s="224"/>
      <c r="B17" s="224"/>
      <c r="C17" s="224"/>
      <c r="D17" s="224" t="s">
        <v>1675</v>
      </c>
    </row>
    <row r="18" spans="1:14" s="225" customFormat="1" ht="15.75" customHeight="1">
      <c r="A18" s="224"/>
      <c r="B18" s="224"/>
      <c r="C18" s="224"/>
      <c r="D18" s="224" t="s">
        <v>1676</v>
      </c>
    </row>
    <row r="19" spans="1:14" s="225" customFormat="1" ht="15.75" customHeight="1">
      <c r="A19" s="224"/>
      <c r="B19" s="224"/>
      <c r="C19" s="224"/>
      <c r="D19" s="224" t="s">
        <v>1681</v>
      </c>
    </row>
    <row r="20" spans="1:14" s="225" customFormat="1" ht="15.75" customHeight="1">
      <c r="A20" s="224"/>
      <c r="B20" s="224"/>
      <c r="C20" s="224"/>
      <c r="D20" s="224" t="s">
        <v>1682</v>
      </c>
    </row>
    <row r="21" spans="1:14" s="225" customFormat="1" ht="15.75" customHeight="1">
      <c r="A21" s="224"/>
      <c r="B21" s="224"/>
      <c r="C21" s="224"/>
      <c r="D21" s="224" t="s">
        <v>1677</v>
      </c>
    </row>
    <row r="22" spans="1:14" s="225" customFormat="1" ht="15.75" customHeight="1">
      <c r="A22" s="224"/>
      <c r="B22" s="224"/>
      <c r="C22" s="224"/>
      <c r="D22" s="224" t="s">
        <v>1678</v>
      </c>
    </row>
    <row r="23" spans="1:14" s="225" customFormat="1" ht="15.75" customHeight="1">
      <c r="A23" s="224"/>
      <c r="B23" s="224"/>
      <c r="C23" s="224"/>
      <c r="D23" s="224" t="s">
        <v>1683</v>
      </c>
    </row>
    <row r="24" spans="1:14" s="225" customFormat="1" ht="15.75" customHeight="1">
      <c r="A24" s="224"/>
      <c r="B24" s="224"/>
      <c r="C24" s="224"/>
      <c r="D24" s="224" t="s">
        <v>1679</v>
      </c>
    </row>
    <row r="25" spans="1:14" s="225" customFormat="1" ht="15.75" customHeight="1">
      <c r="A25" s="224"/>
      <c r="B25" s="224"/>
      <c r="C25" s="224"/>
      <c r="D25" s="224" t="s">
        <v>1680</v>
      </c>
    </row>
    <row r="26" spans="1:14" s="225" customFormat="1" ht="15.75" customHeight="1">
      <c r="A26" s="224"/>
      <c r="B26" s="224"/>
      <c r="C26" s="224"/>
      <c r="D26" s="224" t="s">
        <v>1684</v>
      </c>
    </row>
    <row r="27" spans="1:14" s="225" customFormat="1" ht="15.75" customHeight="1">
      <c r="A27" s="224"/>
      <c r="B27" s="224"/>
      <c r="C27" s="224"/>
      <c r="D27" s="224" t="s">
        <v>1685</v>
      </c>
    </row>
    <row r="28" spans="1:14" s="225" customFormat="1" ht="15.75" customHeight="1">
      <c r="A28" s="224"/>
      <c r="B28" s="224"/>
      <c r="C28" s="224"/>
    </row>
    <row r="29" spans="1:14" s="225" customFormat="1" ht="15.75" customHeight="1">
      <c r="A29" s="224"/>
      <c r="B29" s="224" t="s">
        <v>1069</v>
      </c>
      <c r="C29" s="224" t="s">
        <v>1686</v>
      </c>
      <c r="N29" s="247"/>
    </row>
    <row r="30" spans="1:14" s="225" customFormat="1" ht="15.75" customHeight="1">
      <c r="C30" s="224" t="s">
        <v>1334</v>
      </c>
      <c r="D30" s="471" t="s">
        <v>1701</v>
      </c>
      <c r="E30" s="226"/>
      <c r="F30" s="226"/>
      <c r="G30" s="226"/>
      <c r="H30" s="226"/>
      <c r="I30" s="226"/>
      <c r="J30" s="226"/>
      <c r="K30" s="226"/>
      <c r="L30" s="226"/>
      <c r="M30" s="226"/>
      <c r="N30" s="226"/>
    </row>
    <row r="31" spans="1:14" s="225" customFormat="1" ht="15.75" customHeight="1">
      <c r="D31" s="226" t="s">
        <v>1687</v>
      </c>
      <c r="E31" s="226"/>
      <c r="F31" s="226"/>
      <c r="G31" s="226"/>
      <c r="H31" s="226"/>
      <c r="I31" s="226"/>
      <c r="J31" s="226"/>
      <c r="K31" s="226"/>
      <c r="L31" s="226"/>
      <c r="M31" s="226"/>
      <c r="N31" s="226"/>
    </row>
    <row r="32" spans="1:14" s="225" customFormat="1" ht="15.75" customHeight="1">
      <c r="D32" s="226" t="s">
        <v>1688</v>
      </c>
      <c r="E32" s="226"/>
      <c r="F32" s="226"/>
      <c r="G32" s="226"/>
      <c r="H32" s="226"/>
      <c r="I32" s="226"/>
      <c r="J32" s="226"/>
      <c r="K32" s="226"/>
      <c r="L32" s="226"/>
      <c r="M32" s="226"/>
      <c r="N32" s="226"/>
    </row>
    <row r="33" spans="3:14" s="225" customFormat="1" ht="15.75" customHeight="1">
      <c r="D33" s="226" t="s">
        <v>1689</v>
      </c>
      <c r="E33" s="226"/>
      <c r="F33" s="226"/>
      <c r="G33" s="226"/>
      <c r="H33" s="226"/>
      <c r="I33" s="226"/>
      <c r="J33" s="226"/>
      <c r="K33" s="226"/>
      <c r="L33" s="226"/>
      <c r="M33" s="226"/>
      <c r="N33" s="226"/>
    </row>
    <row r="34" spans="3:14" s="225" customFormat="1" ht="15.75" customHeight="1">
      <c r="C34" s="224" t="s">
        <v>1343</v>
      </c>
      <c r="D34" s="471" t="s">
        <v>1702</v>
      </c>
      <c r="E34" s="226"/>
      <c r="F34" s="226"/>
      <c r="G34" s="226"/>
      <c r="H34" s="226"/>
      <c r="I34" s="226"/>
      <c r="J34" s="226"/>
      <c r="K34" s="226"/>
      <c r="L34" s="226"/>
      <c r="M34" s="226"/>
      <c r="N34" s="226"/>
    </row>
    <row r="35" spans="3:14" s="225" customFormat="1" ht="15.75" customHeight="1">
      <c r="C35" s="224" t="s">
        <v>1347</v>
      </c>
      <c r="D35" s="471" t="s">
        <v>1703</v>
      </c>
      <c r="E35" s="226"/>
      <c r="F35" s="226"/>
      <c r="G35" s="226"/>
      <c r="H35" s="226"/>
      <c r="I35" s="226"/>
      <c r="J35" s="226"/>
      <c r="K35" s="226"/>
      <c r="L35" s="226"/>
      <c r="M35" s="226"/>
      <c r="N35" s="226"/>
    </row>
    <row r="36" spans="3:14" s="225" customFormat="1" ht="15.75" customHeight="1">
      <c r="D36" s="471" t="s">
        <v>1704</v>
      </c>
      <c r="E36" s="226"/>
      <c r="F36" s="226"/>
      <c r="G36" s="226"/>
      <c r="H36" s="226"/>
      <c r="I36" s="226"/>
      <c r="J36" s="226"/>
      <c r="K36" s="226"/>
      <c r="L36" s="226"/>
      <c r="M36" s="226"/>
      <c r="N36" s="226"/>
    </row>
    <row r="37" spans="3:14" s="225" customFormat="1" ht="15.75" customHeight="1">
      <c r="D37" s="471" t="s">
        <v>1705</v>
      </c>
      <c r="E37" s="226"/>
      <c r="F37" s="226"/>
      <c r="G37" s="226"/>
      <c r="H37" s="226"/>
      <c r="I37" s="226"/>
      <c r="J37" s="226"/>
      <c r="K37" s="226"/>
      <c r="L37" s="226"/>
      <c r="M37" s="226"/>
      <c r="N37" s="226"/>
    </row>
    <row r="38" spans="3:14" s="225" customFormat="1" ht="15.75" customHeight="1">
      <c r="D38" s="471" t="s">
        <v>1706</v>
      </c>
      <c r="E38" s="226"/>
      <c r="F38" s="226"/>
      <c r="G38" s="226"/>
      <c r="H38" s="226"/>
      <c r="I38" s="226"/>
      <c r="J38" s="226"/>
      <c r="K38" s="226"/>
      <c r="L38" s="226"/>
      <c r="M38" s="226"/>
      <c r="N38" s="226"/>
    </row>
    <row r="39" spans="3:14" s="225" customFormat="1" ht="15.75" customHeight="1">
      <c r="D39" s="471" t="s">
        <v>1707</v>
      </c>
      <c r="E39" s="226"/>
      <c r="F39" s="226"/>
      <c r="G39" s="226"/>
      <c r="H39" s="226"/>
      <c r="I39" s="226"/>
      <c r="J39" s="226"/>
      <c r="K39" s="226"/>
      <c r="L39" s="226"/>
      <c r="M39" s="226"/>
      <c r="N39" s="226"/>
    </row>
    <row r="40" spans="3:14" s="225" customFormat="1" ht="15.75" customHeight="1">
      <c r="D40" s="471" t="s">
        <v>1708</v>
      </c>
      <c r="E40" s="226"/>
      <c r="F40" s="226"/>
      <c r="G40" s="226"/>
      <c r="H40" s="226"/>
      <c r="I40" s="226"/>
      <c r="J40" s="226"/>
      <c r="K40" s="226"/>
      <c r="L40" s="226"/>
      <c r="M40" s="226"/>
      <c r="N40" s="226"/>
    </row>
    <row r="41" spans="3:14" s="225" customFormat="1" ht="15.75" customHeight="1">
      <c r="C41" s="224" t="s">
        <v>1356</v>
      </c>
      <c r="D41" s="471" t="s">
        <v>1711</v>
      </c>
      <c r="E41" s="226"/>
      <c r="F41" s="226"/>
      <c r="G41" s="226"/>
      <c r="H41" s="226"/>
      <c r="I41" s="226"/>
      <c r="J41" s="226"/>
      <c r="K41" s="226"/>
      <c r="L41" s="226"/>
      <c r="M41" s="226"/>
      <c r="N41" s="226"/>
    </row>
    <row r="42" spans="3:14" s="225" customFormat="1" ht="15.75" customHeight="1">
      <c r="D42" s="226" t="s">
        <v>1690</v>
      </c>
      <c r="E42" s="226"/>
      <c r="F42" s="226"/>
      <c r="G42" s="226"/>
      <c r="H42" s="226"/>
      <c r="I42" s="226"/>
      <c r="J42" s="226"/>
      <c r="K42" s="226"/>
      <c r="L42" s="226"/>
      <c r="M42" s="226"/>
      <c r="N42" s="226"/>
    </row>
    <row r="43" spans="3:14" s="225" customFormat="1" ht="15.75" customHeight="1">
      <c r="D43" s="471" t="s">
        <v>1709</v>
      </c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3:14" s="225" customFormat="1" ht="15.75" customHeight="1">
      <c r="D44" s="471" t="s">
        <v>1710</v>
      </c>
      <c r="E44" s="226"/>
      <c r="F44" s="226"/>
      <c r="G44" s="226"/>
      <c r="H44" s="226"/>
      <c r="I44" s="226"/>
      <c r="J44" s="226"/>
      <c r="K44" s="226"/>
      <c r="L44" s="226"/>
      <c r="M44" s="226"/>
      <c r="N44" s="226"/>
    </row>
    <row r="45" spans="3:14" s="225" customFormat="1" ht="15.75" customHeight="1">
      <c r="D45" s="226" t="s">
        <v>1691</v>
      </c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6" spans="3:14" s="225" customFormat="1" ht="15.75" customHeight="1">
      <c r="D46" s="226" t="s">
        <v>1692</v>
      </c>
      <c r="E46" s="226"/>
      <c r="F46" s="226"/>
      <c r="G46" s="226"/>
      <c r="H46" s="226"/>
      <c r="I46" s="226"/>
      <c r="J46" s="226"/>
      <c r="K46" s="226"/>
      <c r="L46" s="226"/>
      <c r="M46" s="226"/>
      <c r="N46" s="226"/>
    </row>
    <row r="47" spans="3:14" s="225" customFormat="1" ht="15.75" customHeight="1">
      <c r="D47" s="226" t="s">
        <v>1693</v>
      </c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3:14" s="225" customFormat="1" ht="15.75" customHeight="1">
      <c r="D48" s="226" t="s">
        <v>1694</v>
      </c>
      <c r="E48" s="226"/>
      <c r="F48" s="226"/>
      <c r="G48" s="226"/>
      <c r="H48" s="226"/>
      <c r="I48" s="226"/>
      <c r="J48" s="226"/>
      <c r="K48" s="226"/>
      <c r="L48" s="226"/>
      <c r="M48" s="226"/>
      <c r="N48" s="226"/>
    </row>
    <row r="49" spans="3:14" s="225" customFormat="1" ht="15.75" customHeight="1">
      <c r="D49" s="226" t="s">
        <v>1695</v>
      </c>
      <c r="E49" s="226"/>
      <c r="F49" s="226"/>
      <c r="G49" s="226"/>
      <c r="H49" s="226"/>
      <c r="I49" s="226"/>
      <c r="J49" s="226"/>
      <c r="K49" s="226"/>
      <c r="L49" s="226"/>
      <c r="M49" s="226"/>
      <c r="N49" s="226"/>
    </row>
    <row r="50" spans="3:14" s="225" customFormat="1" ht="15.75" customHeight="1">
      <c r="D50" s="226" t="s">
        <v>1696</v>
      </c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3:14" s="225" customFormat="1" ht="15.75" customHeight="1">
      <c r="D51" s="226" t="s">
        <v>1697</v>
      </c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3:14" s="225" customFormat="1" ht="15.75" customHeight="1">
      <c r="C52" s="224" t="s">
        <v>1358</v>
      </c>
      <c r="D52" s="471" t="s">
        <v>1718</v>
      </c>
      <c r="E52" s="226"/>
      <c r="F52" s="226"/>
      <c r="G52" s="226"/>
      <c r="H52" s="226"/>
      <c r="I52" s="226"/>
      <c r="J52" s="226"/>
      <c r="K52" s="226"/>
      <c r="L52" s="226"/>
      <c r="M52" s="226"/>
      <c r="N52" s="226"/>
    </row>
    <row r="53" spans="3:14" s="225" customFormat="1" ht="15.75" customHeight="1">
      <c r="C53" s="224"/>
      <c r="D53" s="471" t="s">
        <v>1719</v>
      </c>
      <c r="E53" s="226"/>
      <c r="F53" s="226"/>
      <c r="G53" s="226"/>
      <c r="H53" s="226"/>
      <c r="I53" s="226"/>
      <c r="J53" s="226"/>
      <c r="K53" s="226"/>
      <c r="L53" s="226"/>
      <c r="M53" s="226"/>
      <c r="N53" s="226"/>
    </row>
    <row r="54" spans="3:14" s="225" customFormat="1" ht="15.75" customHeight="1">
      <c r="C54" s="224" t="s">
        <v>1712</v>
      </c>
      <c r="D54" s="471" t="s">
        <v>1720</v>
      </c>
      <c r="E54" s="226"/>
      <c r="F54" s="226"/>
      <c r="G54" s="226"/>
      <c r="H54" s="226"/>
      <c r="I54" s="226"/>
      <c r="J54" s="226"/>
      <c r="K54" s="226"/>
      <c r="L54" s="226"/>
      <c r="M54" s="226"/>
      <c r="N54" s="226"/>
    </row>
    <row r="55" spans="3:14" s="225" customFormat="1" ht="15.75" customHeight="1">
      <c r="C55" s="224"/>
      <c r="D55" s="471" t="s">
        <v>1721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3:14" s="225" customFormat="1" ht="15.75" customHeight="1">
      <c r="C56" s="224" t="s">
        <v>1713</v>
      </c>
      <c r="D56" s="471" t="s">
        <v>1722</v>
      </c>
      <c r="E56" s="226"/>
      <c r="F56" s="226"/>
      <c r="G56" s="226"/>
      <c r="H56" s="226"/>
      <c r="I56" s="226"/>
      <c r="J56" s="226"/>
      <c r="K56" s="226"/>
      <c r="L56" s="226"/>
      <c r="M56" s="226"/>
      <c r="N56" s="226"/>
    </row>
    <row r="57" spans="3:14" s="225" customFormat="1" ht="15.75" customHeight="1">
      <c r="C57" s="224"/>
      <c r="D57" s="471" t="s">
        <v>1723</v>
      </c>
      <c r="E57" s="226"/>
      <c r="F57" s="226"/>
      <c r="G57" s="226"/>
      <c r="H57" s="226"/>
      <c r="I57" s="226"/>
      <c r="J57" s="226"/>
      <c r="K57" s="226"/>
      <c r="L57" s="226"/>
      <c r="M57" s="226"/>
      <c r="N57" s="226"/>
    </row>
    <row r="58" spans="3:14" s="225" customFormat="1" ht="15.75" customHeight="1">
      <c r="C58" s="224" t="s">
        <v>1714</v>
      </c>
      <c r="D58" s="471" t="s">
        <v>1724</v>
      </c>
      <c r="E58" s="226"/>
      <c r="F58" s="226"/>
      <c r="G58" s="226"/>
      <c r="H58" s="226"/>
      <c r="I58" s="226"/>
      <c r="J58" s="226"/>
      <c r="K58" s="226"/>
      <c r="L58" s="226"/>
      <c r="M58" s="226"/>
      <c r="N58" s="226"/>
    </row>
    <row r="59" spans="3:14" s="225" customFormat="1" ht="15.75" customHeight="1">
      <c r="C59" s="224"/>
      <c r="D59" s="471" t="s">
        <v>1725</v>
      </c>
      <c r="E59" s="226"/>
      <c r="F59" s="226"/>
      <c r="G59" s="226"/>
      <c r="H59" s="226"/>
      <c r="I59" s="226"/>
      <c r="J59" s="226"/>
      <c r="K59" s="226"/>
      <c r="L59" s="226"/>
      <c r="M59" s="226"/>
      <c r="N59" s="226"/>
    </row>
    <row r="60" spans="3:14" s="225" customFormat="1" ht="15.75" customHeight="1">
      <c r="D60" s="226" t="s">
        <v>1698</v>
      </c>
      <c r="E60" s="226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3:14" s="225" customFormat="1" ht="15.75" customHeight="1">
      <c r="D61" s="226" t="s">
        <v>1699</v>
      </c>
      <c r="E61" s="226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3:14" s="225" customFormat="1" ht="15.75" customHeight="1">
      <c r="C62" s="224" t="s">
        <v>1715</v>
      </c>
      <c r="D62" s="226" t="s">
        <v>1814</v>
      </c>
      <c r="E62" s="226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3:14" s="225" customFormat="1" ht="15.75" customHeight="1">
      <c r="C63" s="224" t="s">
        <v>1716</v>
      </c>
      <c r="D63" s="226" t="s">
        <v>1815</v>
      </c>
      <c r="E63" s="226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3:14" s="225" customFormat="1" ht="15.75" customHeight="1">
      <c r="C64" s="224" t="s">
        <v>1717</v>
      </c>
      <c r="D64" s="226" t="s">
        <v>1816</v>
      </c>
      <c r="E64" s="226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s="225" customFormat="1" ht="15.75" customHeight="1">
      <c r="A65" s="264"/>
      <c r="B65" s="264"/>
    </row>
    <row r="66" spans="1:14" s="225" customFormat="1" ht="15.75" customHeight="1">
      <c r="A66" s="264"/>
      <c r="B66" s="264"/>
      <c r="C66" s="224"/>
      <c r="D66" s="224"/>
    </row>
    <row r="67" spans="1:14" s="225" customFormat="1" ht="15.75" customHeight="1">
      <c r="A67" s="264"/>
      <c r="B67" s="264"/>
      <c r="D67" s="224"/>
    </row>
    <row r="68" spans="1:14" s="225" customFormat="1" ht="15.75" customHeight="1">
      <c r="A68" s="264"/>
      <c r="B68" s="264"/>
    </row>
    <row r="69" spans="1:14" s="225" customFormat="1" ht="15.75" customHeight="1">
      <c r="A69" s="264"/>
      <c r="B69" s="264"/>
      <c r="C69" s="224"/>
      <c r="D69" s="224"/>
    </row>
    <row r="70" spans="1:14" s="225" customFormat="1" ht="15.75" customHeight="1">
      <c r="A70" s="264"/>
      <c r="B70" s="264"/>
    </row>
    <row r="71" spans="1:14" s="225" customFormat="1" ht="15.75" customHeight="1">
      <c r="A71" s="264"/>
      <c r="B71" s="264"/>
      <c r="C71" s="224"/>
      <c r="D71" s="224"/>
    </row>
    <row r="72" spans="1:14" s="225" customFormat="1" ht="15.75" customHeight="1">
      <c r="A72" s="264"/>
      <c r="B72" s="264"/>
    </row>
    <row r="73" spans="1:14" s="225" customFormat="1" ht="15.75" customHeight="1">
      <c r="A73" s="264"/>
      <c r="B73" s="253"/>
      <c r="N73" s="247"/>
    </row>
    <row r="74" spans="1:14" s="225" customFormat="1" ht="15.75" customHeight="1">
      <c r="A74" s="264"/>
      <c r="B74" s="264"/>
    </row>
    <row r="75" spans="1:14" s="225" customFormat="1" ht="15.75" customHeight="1">
      <c r="A75" s="264"/>
      <c r="B75" s="253"/>
      <c r="C75" s="224"/>
      <c r="N75" s="247"/>
    </row>
    <row r="76" spans="1:14" s="225" customFormat="1" ht="15.75" customHeight="1">
      <c r="A76" s="264"/>
      <c r="B76" s="264"/>
    </row>
    <row r="77" spans="1:14" s="225" customFormat="1" ht="15.75" customHeight="1">
      <c r="A77" s="264"/>
      <c r="B77" s="253"/>
      <c r="C77" s="224"/>
      <c r="N77" s="247"/>
    </row>
    <row r="78" spans="1:14" s="225" customFormat="1" ht="15.75" customHeight="1">
      <c r="A78" s="264"/>
      <c r="B78" s="264"/>
      <c r="D78" s="224"/>
    </row>
    <row r="79" spans="1:14" s="225" customFormat="1" ht="15.75" customHeight="1">
      <c r="A79" s="264"/>
      <c r="B79" s="264"/>
      <c r="D79" s="224"/>
    </row>
    <row r="80" spans="1:14" s="225" customFormat="1" ht="15.75" customHeight="1">
      <c r="A80" s="264"/>
      <c r="B80" s="264"/>
    </row>
    <row r="81" spans="1:14" s="225" customFormat="1" ht="15.75" customHeight="1">
      <c r="A81" s="264"/>
      <c r="B81" s="253"/>
      <c r="C81" s="224"/>
      <c r="N81" s="247"/>
    </row>
    <row r="82" spans="1:14" s="225" customFormat="1" ht="15.75" customHeight="1">
      <c r="A82" s="264"/>
      <c r="B82" s="264"/>
    </row>
    <row r="83" spans="1:14" s="225" customFormat="1" ht="15.75" customHeight="1">
      <c r="B83" s="224"/>
      <c r="C83" s="224"/>
      <c r="N83" s="247"/>
    </row>
    <row r="84" spans="1:14" s="225" customFormat="1" ht="15.75" customHeight="1"/>
    <row r="85" spans="1:14" s="225" customFormat="1" ht="15.75" customHeight="1">
      <c r="B85" s="224"/>
      <c r="C85" s="224"/>
      <c r="N85" s="247"/>
    </row>
    <row r="86" spans="1:14" s="225" customFormat="1" ht="15.75" customHeight="1"/>
    <row r="87" spans="1:14" s="225" customFormat="1" ht="15.75" customHeight="1">
      <c r="B87" s="224"/>
      <c r="C87" s="227"/>
      <c r="N87" s="252"/>
    </row>
    <row r="88" spans="1:14" s="225" customFormat="1" ht="15.75" customHeight="1">
      <c r="D88" s="223"/>
    </row>
    <row r="89" spans="1:14" s="225" customFormat="1" ht="15.75" customHeight="1">
      <c r="D89" s="223"/>
    </row>
    <row r="90" spans="1:14" s="225" customFormat="1" ht="15.75" customHeight="1">
      <c r="D90" s="223"/>
    </row>
    <row r="91" spans="1:14" s="225" customFormat="1" ht="15.75" customHeight="1"/>
    <row r="92" spans="1:14" s="225" customFormat="1" ht="15.75" customHeight="1">
      <c r="B92" s="224"/>
      <c r="C92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6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4">
    <tabColor rgb="FF00B050"/>
  </sheetPr>
  <dimension ref="A1:K46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5" t="str">
        <f>TableofContents!$D$12</f>
        <v>재고자산</v>
      </c>
      <c r="B2" s="446"/>
      <c r="C2" s="446"/>
      <c r="D2" s="446"/>
      <c r="E2" s="446"/>
      <c r="F2" s="1274" t="str">
        <f>TableofContents!$B$12</f>
        <v>E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e">
        <f>FS_worksheet!C28</f>
        <v>#REF!</v>
      </c>
      <c r="C7" s="230"/>
      <c r="D7" s="230" t="e">
        <f>VLOOKUP($B7,FS_worksheet!$C$11:$H$116,3,FALSE)</f>
        <v>#REF!</v>
      </c>
      <c r="E7" s="230"/>
      <c r="F7" s="230" t="e">
        <f>H7+J7-D7</f>
        <v>#REF!</v>
      </c>
      <c r="G7" s="232"/>
      <c r="H7" s="230"/>
      <c r="I7" s="230"/>
      <c r="J7" s="230" t="e">
        <f>VLOOKUP($B7,FS_worksheet!$C$11:$H$116,5,FALSE)</f>
        <v>#REF!</v>
      </c>
      <c r="K7" s="233"/>
    </row>
    <row r="8" spans="1:11" s="233" customFormat="1" ht="15.75" customHeight="1">
      <c r="B8" s="234" t="e">
        <f>FS_worksheet!C29</f>
        <v>#REF!</v>
      </c>
      <c r="D8" s="233" t="e">
        <f>VLOOKUP($B8,FS_worksheet!$C$11:$H$116,3,FALSE)</f>
        <v>#REF!</v>
      </c>
      <c r="F8" s="233" t="e">
        <f>H8+J8-D8</f>
        <v>#REF!</v>
      </c>
      <c r="G8" s="235"/>
      <c r="J8" s="233" t="e">
        <f>VLOOKUP($B8,FS_worksheet!$C$11:$H$116,5,FALSE)</f>
        <v>#REF!</v>
      </c>
    </row>
    <row r="9" spans="1:11" ht="15.75" customHeight="1">
      <c r="A9" s="230"/>
      <c r="B9" s="231" t="e">
        <f>FS_worksheet!C30</f>
        <v>#REF!</v>
      </c>
      <c r="C9" s="230"/>
      <c r="D9" s="230" t="e">
        <f>VLOOKUP($B9,FS_worksheet!$C$11:$H$116,3,FALSE)</f>
        <v>#REF!</v>
      </c>
      <c r="E9" s="230"/>
      <c r="F9" s="230" t="e">
        <f>H9+J9-D9</f>
        <v>#REF!</v>
      </c>
      <c r="G9" s="232"/>
      <c r="H9" s="230"/>
      <c r="I9" s="230"/>
      <c r="J9" s="230" t="e">
        <f>VLOOKUP($B9,FS_worksheet!$C$11:$H$116,5,FALSE)</f>
        <v>#REF!</v>
      </c>
      <c r="K9" s="233"/>
    </row>
    <row r="10" spans="1:11" s="233" customFormat="1" ht="15.75" customHeight="1">
      <c r="B10" s="234" t="e">
        <f>FS_worksheet!C31</f>
        <v>#REF!</v>
      </c>
      <c r="D10" s="233" t="e">
        <f>VLOOKUP($B10,FS_worksheet!$C$11:$H$116,3,FALSE)</f>
        <v>#REF!</v>
      </c>
      <c r="F10" s="233" t="e">
        <f>H10+J10-D10</f>
        <v>#REF!</v>
      </c>
      <c r="G10" s="235"/>
      <c r="J10" s="233" t="e">
        <f>VLOOKUP($B10,FS_worksheet!$C$11:$H$116,5,FALSE)</f>
        <v>#REF!</v>
      </c>
    </row>
    <row r="11" spans="1:11" ht="15.75" customHeight="1">
      <c r="B11" s="236"/>
      <c r="F11" s="237"/>
      <c r="G11" s="225"/>
      <c r="H11" s="237"/>
      <c r="K11" s="233"/>
    </row>
    <row r="12" spans="1:11" ht="15.75" customHeight="1">
      <c r="B12" s="236"/>
      <c r="F12" s="237"/>
      <c r="G12" s="225"/>
      <c r="H12" s="237"/>
      <c r="K12" s="233"/>
    </row>
    <row r="13" spans="1:11" ht="15.75" customHeight="1">
      <c r="A13" s="222" t="s">
        <v>124</v>
      </c>
    </row>
    <row r="14" spans="1:11" ht="15.75" customHeight="1">
      <c r="A14" s="227" t="s">
        <v>2</v>
      </c>
      <c r="B14" s="238" t="s">
        <v>814</v>
      </c>
    </row>
    <row r="15" spans="1:11" ht="15.75" customHeight="1">
      <c r="A15" s="227"/>
      <c r="B15" s="244" t="s">
        <v>815</v>
      </c>
    </row>
    <row r="16" spans="1:11" ht="15.75" customHeight="1">
      <c r="A16" s="227"/>
      <c r="B16" s="244" t="s">
        <v>816</v>
      </c>
    </row>
    <row r="17" spans="1:2" ht="15.75" customHeight="1">
      <c r="A17" s="227"/>
      <c r="B17" s="244" t="s">
        <v>817</v>
      </c>
    </row>
    <row r="18" spans="1:2" ht="15.75" customHeight="1">
      <c r="A18" s="227" t="s">
        <v>3</v>
      </c>
      <c r="B18" s="238" t="s">
        <v>818</v>
      </c>
    </row>
    <row r="19" spans="1:2" ht="15.75" customHeight="1">
      <c r="A19" s="227" t="s">
        <v>4</v>
      </c>
      <c r="B19" s="238" t="s">
        <v>819</v>
      </c>
    </row>
    <row r="20" spans="1:2" ht="15.75" customHeight="1">
      <c r="A20" s="227"/>
      <c r="B20" s="238" t="s">
        <v>820</v>
      </c>
    </row>
    <row r="21" spans="1:2" ht="15.75" customHeight="1">
      <c r="A21" s="227"/>
      <c r="B21" s="244" t="s">
        <v>995</v>
      </c>
    </row>
    <row r="22" spans="1:2" ht="15.75" customHeight="1">
      <c r="A22" s="227"/>
      <c r="B22" s="238" t="s">
        <v>821</v>
      </c>
    </row>
    <row r="23" spans="1:2" ht="15.75" customHeight="1">
      <c r="B23" s="227" t="s">
        <v>996</v>
      </c>
    </row>
    <row r="24" spans="1:2" ht="15.75" customHeight="1">
      <c r="B24" s="227" t="s">
        <v>997</v>
      </c>
    </row>
    <row r="25" spans="1:2" ht="15.75" customHeight="1">
      <c r="A25" s="227" t="s">
        <v>228</v>
      </c>
      <c r="B25" s="238" t="s">
        <v>822</v>
      </c>
    </row>
    <row r="26" spans="1:2" ht="15.75" customHeight="1">
      <c r="B26" s="238" t="s">
        <v>724</v>
      </c>
    </row>
    <row r="27" spans="1:2" ht="15.75" customHeight="1">
      <c r="B27" s="238" t="s">
        <v>725</v>
      </c>
    </row>
    <row r="28" spans="1:2" ht="15.75" customHeight="1">
      <c r="B28" s="238"/>
    </row>
    <row r="30" spans="1:2" ht="15.75" customHeight="1">
      <c r="A30" s="222" t="s">
        <v>125</v>
      </c>
    </row>
    <row r="31" spans="1:2" ht="15.75" customHeight="1">
      <c r="A31" s="227" t="s">
        <v>2</v>
      </c>
      <c r="B31" s="223" t="s">
        <v>823</v>
      </c>
    </row>
    <row r="32" spans="1:2" ht="15.75" customHeight="1">
      <c r="A32" s="227" t="s">
        <v>34</v>
      </c>
      <c r="B32" s="223" t="s">
        <v>824</v>
      </c>
    </row>
    <row r="34" spans="1:6" s="225" customFormat="1" ht="15.75" customHeight="1">
      <c r="A34" s="228" t="s">
        <v>248</v>
      </c>
    </row>
    <row r="35" spans="1:6" s="225" customFormat="1" ht="15.75" customHeight="1"/>
    <row r="36" spans="1:6" s="225" customFormat="1" ht="15.75" customHeight="1"/>
    <row r="37" spans="1:6" s="225" customFormat="1" ht="15.75" customHeight="1">
      <c r="A37" s="228" t="s">
        <v>762</v>
      </c>
    </row>
    <row r="38" spans="1:6" s="225" customFormat="1" ht="15.75" customHeight="1">
      <c r="A38" s="253" t="s">
        <v>761</v>
      </c>
    </row>
    <row r="39" spans="1:6" s="225" customFormat="1" ht="15.75" customHeight="1">
      <c r="A39" s="264"/>
      <c r="B39" s="225" t="s">
        <v>754</v>
      </c>
      <c r="F39" s="225" t="s">
        <v>755</v>
      </c>
    </row>
    <row r="40" spans="1:6" s="225" customFormat="1" ht="15.75" customHeight="1"/>
    <row r="41" spans="1:6" s="225" customFormat="1" ht="15.75" customHeight="1"/>
    <row r="42" spans="1:6" s="225" customFormat="1" ht="15.75" customHeight="1"/>
    <row r="43" spans="1:6" s="225" customFormat="1" ht="15.75" customHeight="1"/>
    <row r="44" spans="1:6" s="225" customFormat="1" ht="15.75" customHeight="1"/>
    <row r="45" spans="1:6" s="225" customFormat="1" ht="15.75" customHeight="1"/>
    <row r="46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82"/>
  <sheetViews>
    <sheetView topLeftCell="A67" workbookViewId="0">
      <selection activeCell="C70" sqref="C70"/>
    </sheetView>
  </sheetViews>
  <sheetFormatPr defaultRowHeight="16.5"/>
  <cols>
    <col min="1" max="1" width="2.75" customWidth="1"/>
    <col min="2" max="2" width="22" customWidth="1"/>
    <col min="3" max="3" width="13" bestFit="1" customWidth="1"/>
    <col min="4" max="4" width="17.75" bestFit="1" customWidth="1"/>
    <col min="5" max="6" width="14.625" bestFit="1" customWidth="1"/>
    <col min="7" max="7" width="11.875" bestFit="1" customWidth="1"/>
    <col min="8" max="8" width="13.625" bestFit="1" customWidth="1"/>
    <col min="9" max="9" width="21.625" bestFit="1" customWidth="1"/>
    <col min="10" max="10" width="6.375" bestFit="1" customWidth="1"/>
    <col min="11" max="11" width="4.5" bestFit="1" customWidth="1"/>
    <col min="12" max="12" width="5.25" bestFit="1" customWidth="1"/>
    <col min="13" max="13" width="16.75" bestFit="1" customWidth="1"/>
    <col min="14" max="14" width="10.875" bestFit="1" customWidth="1"/>
  </cols>
  <sheetData>
    <row r="1" spans="1:9">
      <c r="A1" s="448" t="str">
        <f>[26]기본사항!$C$2</f>
        <v>칸서스파트너스㈜</v>
      </c>
      <c r="B1" s="449"/>
      <c r="C1" s="449"/>
      <c r="D1" s="449"/>
      <c r="E1" s="1253" t="s">
        <v>112</v>
      </c>
      <c r="F1" s="1254"/>
      <c r="G1" s="1253" t="s">
        <v>0</v>
      </c>
      <c r="H1" s="1254"/>
      <c r="I1" s="460" t="s">
        <v>1</v>
      </c>
    </row>
    <row r="2" spans="1:9">
      <c r="A2" s="448" t="s">
        <v>3184</v>
      </c>
      <c r="B2" s="449"/>
      <c r="C2" s="449"/>
      <c r="D2" s="449"/>
      <c r="E2" s="1255" t="str">
        <f>[26]TableofContents!$B$8</f>
        <v>A</v>
      </c>
      <c r="F2" s="1256"/>
      <c r="G2" s="1259">
        <f>[26]기본사항!$C$14</f>
        <v>40561</v>
      </c>
      <c r="H2" s="1260"/>
      <c r="I2" s="1263" t="str">
        <f>[26]기본사항!$C$17</f>
        <v>Kbj</v>
      </c>
    </row>
    <row r="3" spans="1:9">
      <c r="A3" s="448" t="str">
        <f>[26]기본사항!$C$9</f>
        <v>A : 12-31-2011</v>
      </c>
      <c r="B3" s="449"/>
      <c r="C3" s="449"/>
      <c r="D3" s="449"/>
      <c r="E3" s="1257"/>
      <c r="F3" s="1258"/>
      <c r="G3" s="1261"/>
      <c r="H3" s="1262"/>
      <c r="I3" s="1264"/>
    </row>
    <row r="5" spans="1:9">
      <c r="B5" t="s">
        <v>3175</v>
      </c>
    </row>
    <row r="6" spans="1:9" ht="17.25" thickBot="1"/>
    <row r="7" spans="1:9" ht="17.25" thickBot="1">
      <c r="B7" s="830" t="s">
        <v>3176</v>
      </c>
      <c r="C7" s="831" t="s">
        <v>3177</v>
      </c>
      <c r="D7" s="831" t="s">
        <v>3178</v>
      </c>
      <c r="E7" s="831" t="s">
        <v>3179</v>
      </c>
      <c r="F7" s="832" t="s">
        <v>3180</v>
      </c>
      <c r="G7" s="832" t="s">
        <v>3181</v>
      </c>
      <c r="H7" s="832" t="s">
        <v>3182</v>
      </c>
      <c r="I7" s="833" t="s">
        <v>3183</v>
      </c>
    </row>
    <row r="8" spans="1:9">
      <c r="B8" s="834" t="s">
        <v>3192</v>
      </c>
      <c r="C8" s="835" t="s">
        <v>3193</v>
      </c>
      <c r="D8" s="835" t="s">
        <v>3198</v>
      </c>
      <c r="E8" s="836">
        <v>55001506</v>
      </c>
      <c r="F8" s="836">
        <v>55001506</v>
      </c>
      <c r="G8" s="836">
        <f>F8-E8</f>
        <v>0</v>
      </c>
      <c r="H8" s="835"/>
      <c r="I8" s="837"/>
    </row>
    <row r="9" spans="1:9">
      <c r="B9" s="834" t="s">
        <v>3192</v>
      </c>
      <c r="C9" s="835" t="s">
        <v>3194</v>
      </c>
      <c r="D9" s="835" t="s">
        <v>3199</v>
      </c>
      <c r="E9" s="836">
        <v>50000</v>
      </c>
      <c r="F9" s="836">
        <v>50000</v>
      </c>
      <c r="G9" s="836">
        <f t="shared" ref="G9:G54" si="0">F9-E9</f>
        <v>0</v>
      </c>
      <c r="H9" s="835"/>
      <c r="I9" s="837"/>
    </row>
    <row r="10" spans="1:9">
      <c r="B10" s="834" t="s">
        <v>3192</v>
      </c>
      <c r="C10" s="835" t="s">
        <v>3194</v>
      </c>
      <c r="D10" s="835" t="s">
        <v>3200</v>
      </c>
      <c r="E10" s="836">
        <v>5310199</v>
      </c>
      <c r="F10" s="836">
        <v>5310199</v>
      </c>
      <c r="G10" s="836">
        <f t="shared" si="0"/>
        <v>0</v>
      </c>
      <c r="H10" s="835"/>
      <c r="I10" s="837"/>
    </row>
    <row r="11" spans="1:9">
      <c r="B11" s="834" t="s">
        <v>3192</v>
      </c>
      <c r="C11" s="835" t="s">
        <v>3195</v>
      </c>
      <c r="D11" s="835" t="s">
        <v>3201</v>
      </c>
      <c r="E11" s="836">
        <v>69475378</v>
      </c>
      <c r="F11" s="836">
        <v>69475378</v>
      </c>
      <c r="G11" s="836">
        <f t="shared" si="0"/>
        <v>0</v>
      </c>
      <c r="H11" s="835"/>
      <c r="I11" s="837"/>
    </row>
    <row r="12" spans="1:9">
      <c r="B12" s="834" t="s">
        <v>3192</v>
      </c>
      <c r="C12" s="835" t="s">
        <v>3195</v>
      </c>
      <c r="D12" s="835" t="s">
        <v>3202</v>
      </c>
      <c r="E12" s="836">
        <v>1418422</v>
      </c>
      <c r="F12" s="836">
        <v>1418422</v>
      </c>
      <c r="G12" s="836">
        <f t="shared" si="0"/>
        <v>0</v>
      </c>
      <c r="H12" s="835"/>
      <c r="I12" s="837"/>
    </row>
    <row r="13" spans="1:9">
      <c r="B13" s="834" t="s">
        <v>3192</v>
      </c>
      <c r="C13" s="835" t="s">
        <v>3195</v>
      </c>
      <c r="D13" s="835" t="s">
        <v>3203</v>
      </c>
      <c r="E13" s="836">
        <v>2562</v>
      </c>
      <c r="F13" s="836">
        <v>2562</v>
      </c>
      <c r="G13" s="836">
        <f t="shared" si="0"/>
        <v>0</v>
      </c>
      <c r="H13" s="835"/>
      <c r="I13" s="837"/>
    </row>
    <row r="14" spans="1:9">
      <c r="B14" s="834" t="s">
        <v>3192</v>
      </c>
      <c r="C14" s="835" t="s">
        <v>3195</v>
      </c>
      <c r="D14" s="835" t="s">
        <v>3204</v>
      </c>
      <c r="E14" s="836">
        <v>255144</v>
      </c>
      <c r="F14" s="836">
        <v>255144</v>
      </c>
      <c r="G14" s="836">
        <f t="shared" si="0"/>
        <v>0</v>
      </c>
      <c r="H14" s="835"/>
      <c r="I14" s="837"/>
    </row>
    <row r="15" spans="1:9">
      <c r="B15" s="834" t="s">
        <v>3192</v>
      </c>
      <c r="C15" s="835" t="s">
        <v>3195</v>
      </c>
      <c r="D15" s="835" t="s">
        <v>3205</v>
      </c>
      <c r="E15" s="836">
        <v>3365209</v>
      </c>
      <c r="F15" s="836">
        <v>3365209</v>
      </c>
      <c r="G15" s="836">
        <f t="shared" si="0"/>
        <v>0</v>
      </c>
      <c r="H15" s="835"/>
      <c r="I15" s="837"/>
    </row>
    <row r="16" spans="1:9">
      <c r="B16" s="834" t="s">
        <v>3192</v>
      </c>
      <c r="C16" s="835" t="s">
        <v>3196</v>
      </c>
      <c r="D16" s="835" t="s">
        <v>3206</v>
      </c>
      <c r="E16" s="836">
        <v>15000</v>
      </c>
      <c r="F16" s="836">
        <v>15000</v>
      </c>
      <c r="G16" s="836">
        <f t="shared" si="0"/>
        <v>0</v>
      </c>
      <c r="H16" s="835"/>
      <c r="I16" s="837"/>
    </row>
    <row r="17" spans="2:9">
      <c r="B17" s="834" t="s">
        <v>3192</v>
      </c>
      <c r="C17" s="835" t="s">
        <v>3197</v>
      </c>
      <c r="D17" s="835" t="s">
        <v>3207</v>
      </c>
      <c r="E17" s="836">
        <v>1000654</v>
      </c>
      <c r="F17" s="836">
        <v>1000654</v>
      </c>
      <c r="G17" s="836">
        <f t="shared" si="0"/>
        <v>0</v>
      </c>
      <c r="H17" s="835"/>
      <c r="I17" s="837"/>
    </row>
    <row r="18" spans="2:9">
      <c r="B18" s="834" t="s">
        <v>3192</v>
      </c>
      <c r="C18" s="835" t="s">
        <v>3208</v>
      </c>
      <c r="D18" s="835" t="s">
        <v>3210</v>
      </c>
      <c r="E18" s="836">
        <v>4566011</v>
      </c>
      <c r="F18" s="836">
        <v>4566011</v>
      </c>
      <c r="G18" s="836">
        <f t="shared" si="0"/>
        <v>0</v>
      </c>
      <c r="H18" s="835"/>
      <c r="I18" s="837"/>
    </row>
    <row r="19" spans="2:9">
      <c r="B19" s="834" t="s">
        <v>3192</v>
      </c>
      <c r="C19" s="835" t="s">
        <v>3208</v>
      </c>
      <c r="D19" s="835" t="s">
        <v>3211</v>
      </c>
      <c r="E19" s="836">
        <v>70007</v>
      </c>
      <c r="F19" s="836">
        <v>70007</v>
      </c>
      <c r="G19" s="836">
        <f t="shared" si="0"/>
        <v>0</v>
      </c>
      <c r="H19" s="835"/>
      <c r="I19" s="837"/>
    </row>
    <row r="20" spans="2:9">
      <c r="B20" s="834" t="s">
        <v>3192</v>
      </c>
      <c r="C20" s="835" t="s">
        <v>3208</v>
      </c>
      <c r="D20" s="835" t="s">
        <v>3212</v>
      </c>
      <c r="E20" s="836">
        <v>25200</v>
      </c>
      <c r="F20" s="836">
        <v>25200</v>
      </c>
      <c r="G20" s="836">
        <f t="shared" si="0"/>
        <v>0</v>
      </c>
      <c r="H20" s="835"/>
      <c r="I20" s="837"/>
    </row>
    <row r="21" spans="2:9">
      <c r="B21" s="834" t="s">
        <v>3192</v>
      </c>
      <c r="C21" s="835" t="s">
        <v>3208</v>
      </c>
      <c r="D21" s="835" t="s">
        <v>3213</v>
      </c>
      <c r="E21" s="836">
        <v>70028</v>
      </c>
      <c r="F21" s="836">
        <v>70028</v>
      </c>
      <c r="G21" s="836">
        <f t="shared" si="0"/>
        <v>0</v>
      </c>
      <c r="H21" s="835"/>
      <c r="I21" s="837"/>
    </row>
    <row r="22" spans="2:9">
      <c r="B22" s="834" t="s">
        <v>3192</v>
      </c>
      <c r="C22" s="835" t="s">
        <v>3209</v>
      </c>
      <c r="D22" s="835" t="s">
        <v>3214</v>
      </c>
      <c r="E22" s="836">
        <v>2495932</v>
      </c>
      <c r="F22" s="836">
        <v>2495932</v>
      </c>
      <c r="G22" s="836">
        <f t="shared" si="0"/>
        <v>0</v>
      </c>
      <c r="H22" s="835"/>
      <c r="I22" s="837"/>
    </row>
    <row r="23" spans="2:9">
      <c r="B23" s="834" t="s">
        <v>3192</v>
      </c>
      <c r="C23" s="835" t="s">
        <v>3209</v>
      </c>
      <c r="D23" s="835" t="s">
        <v>3215</v>
      </c>
      <c r="E23" s="836">
        <v>21838</v>
      </c>
      <c r="F23" s="836">
        <v>21838</v>
      </c>
      <c r="G23" s="836">
        <f t="shared" si="0"/>
        <v>0</v>
      </c>
      <c r="H23" s="835"/>
      <c r="I23" s="837"/>
    </row>
    <row r="24" spans="2:9">
      <c r="B24" s="834" t="s">
        <v>3192</v>
      </c>
      <c r="C24" s="835" t="s">
        <v>3209</v>
      </c>
      <c r="D24" s="835" t="s">
        <v>3216</v>
      </c>
      <c r="E24" s="836">
        <v>5107991</v>
      </c>
      <c r="F24" s="836">
        <v>5107991</v>
      </c>
      <c r="G24" s="836">
        <f t="shared" si="0"/>
        <v>0</v>
      </c>
      <c r="H24" s="835"/>
      <c r="I24" s="837"/>
    </row>
    <row r="25" spans="2:9">
      <c r="B25" s="834" t="s">
        <v>3192</v>
      </c>
      <c r="C25" s="835" t="s">
        <v>3209</v>
      </c>
      <c r="D25" s="835" t="s">
        <v>3217</v>
      </c>
      <c r="E25" s="836">
        <v>2214665</v>
      </c>
      <c r="F25" s="836">
        <v>2214665</v>
      </c>
      <c r="G25" s="836">
        <f t="shared" si="0"/>
        <v>0</v>
      </c>
      <c r="H25" s="835"/>
      <c r="I25" s="837"/>
    </row>
    <row r="26" spans="2:9">
      <c r="B26" s="834" t="s">
        <v>3192</v>
      </c>
      <c r="C26" s="835" t="s">
        <v>3209</v>
      </c>
      <c r="D26" s="835" t="s">
        <v>3218</v>
      </c>
      <c r="E26" s="836">
        <v>51350576</v>
      </c>
      <c r="F26" s="836">
        <v>51350576</v>
      </c>
      <c r="G26" s="836">
        <f t="shared" si="0"/>
        <v>0</v>
      </c>
      <c r="H26" s="835"/>
      <c r="I26" s="837"/>
    </row>
    <row r="27" spans="2:9">
      <c r="B27" s="834" t="s">
        <v>3192</v>
      </c>
      <c r="C27" s="835" t="s">
        <v>3209</v>
      </c>
      <c r="D27" s="835" t="s">
        <v>3219</v>
      </c>
      <c r="E27" s="836">
        <v>661465</v>
      </c>
      <c r="F27" s="836">
        <v>661465</v>
      </c>
      <c r="G27" s="836">
        <f t="shared" si="0"/>
        <v>0</v>
      </c>
      <c r="H27" s="835"/>
      <c r="I27" s="837"/>
    </row>
    <row r="28" spans="2:9">
      <c r="B28" s="834" t="s">
        <v>3192</v>
      </c>
      <c r="C28" s="835" t="s">
        <v>3209</v>
      </c>
      <c r="D28" s="835" t="s">
        <v>3220</v>
      </c>
      <c r="E28" s="836">
        <v>15414000</v>
      </c>
      <c r="F28" s="836">
        <v>15414000</v>
      </c>
      <c r="G28" s="836">
        <f t="shared" si="0"/>
        <v>0</v>
      </c>
      <c r="H28" s="835"/>
      <c r="I28" s="837"/>
    </row>
    <row r="29" spans="2:9">
      <c r="B29" s="834" t="s">
        <v>3192</v>
      </c>
      <c r="C29" s="835" t="s">
        <v>3209</v>
      </c>
      <c r="D29" s="835" t="s">
        <v>3221</v>
      </c>
      <c r="E29" s="836">
        <v>4271783</v>
      </c>
      <c r="F29" s="836">
        <v>4271783</v>
      </c>
      <c r="G29" s="836">
        <f t="shared" si="0"/>
        <v>0</v>
      </c>
      <c r="H29" s="835"/>
      <c r="I29" s="837"/>
    </row>
    <row r="30" spans="2:9">
      <c r="B30" s="834" t="s">
        <v>3192</v>
      </c>
      <c r="C30" s="835" t="s">
        <v>3209</v>
      </c>
      <c r="D30" s="835" t="s">
        <v>3222</v>
      </c>
      <c r="E30" s="836">
        <v>8756694</v>
      </c>
      <c r="F30" s="836">
        <v>8756694</v>
      </c>
      <c r="G30" s="836">
        <f t="shared" si="0"/>
        <v>0</v>
      </c>
      <c r="H30" s="835"/>
      <c r="I30" s="837"/>
    </row>
    <row r="31" spans="2:9">
      <c r="B31" s="834" t="s">
        <v>3192</v>
      </c>
      <c r="C31" s="835" t="s">
        <v>3209</v>
      </c>
      <c r="D31" s="835" t="s">
        <v>3223</v>
      </c>
      <c r="E31" s="836">
        <v>42362234</v>
      </c>
      <c r="F31" s="836">
        <v>42362234</v>
      </c>
      <c r="G31" s="836">
        <f t="shared" si="0"/>
        <v>0</v>
      </c>
      <c r="H31" s="835"/>
      <c r="I31" s="837"/>
    </row>
    <row r="32" spans="2:9">
      <c r="B32" s="834" t="s">
        <v>3192</v>
      </c>
      <c r="C32" s="835" t="s">
        <v>3209</v>
      </c>
      <c r="D32" s="835" t="s">
        <v>3224</v>
      </c>
      <c r="E32" s="836">
        <v>12262492</v>
      </c>
      <c r="F32" s="836">
        <v>12262492</v>
      </c>
      <c r="G32" s="836">
        <f t="shared" si="0"/>
        <v>0</v>
      </c>
      <c r="H32" s="835"/>
      <c r="I32" s="837"/>
    </row>
    <row r="33" spans="2:9">
      <c r="B33" s="834" t="s">
        <v>3192</v>
      </c>
      <c r="C33" s="835" t="s">
        <v>3209</v>
      </c>
      <c r="D33" s="835" t="s">
        <v>3225</v>
      </c>
      <c r="E33" s="836">
        <v>48458252</v>
      </c>
      <c r="F33" s="836">
        <v>48458252</v>
      </c>
      <c r="G33" s="836">
        <f t="shared" si="0"/>
        <v>0</v>
      </c>
      <c r="H33" s="835"/>
      <c r="I33" s="837"/>
    </row>
    <row r="34" spans="2:9">
      <c r="B34" s="834" t="s">
        <v>3192</v>
      </c>
      <c r="C34" s="835" t="s">
        <v>3209</v>
      </c>
      <c r="D34" s="835" t="s">
        <v>3226</v>
      </c>
      <c r="E34" s="836">
        <v>19133299</v>
      </c>
      <c r="F34" s="836">
        <v>19133299</v>
      </c>
      <c r="G34" s="836">
        <f t="shared" si="0"/>
        <v>0</v>
      </c>
      <c r="H34" s="835"/>
      <c r="I34" s="837"/>
    </row>
    <row r="35" spans="2:9">
      <c r="B35" s="834" t="s">
        <v>3192</v>
      </c>
      <c r="C35" s="835" t="s">
        <v>3209</v>
      </c>
      <c r="D35" s="835" t="s">
        <v>3227</v>
      </c>
      <c r="E35" s="836">
        <v>6388768</v>
      </c>
      <c r="F35" s="836">
        <v>6388768</v>
      </c>
      <c r="G35" s="836">
        <f t="shared" si="0"/>
        <v>0</v>
      </c>
      <c r="H35" s="835"/>
      <c r="I35" s="837"/>
    </row>
    <row r="36" spans="2:9">
      <c r="B36" s="834" t="s">
        <v>3192</v>
      </c>
      <c r="C36" s="835" t="s">
        <v>3209</v>
      </c>
      <c r="D36" s="835" t="s">
        <v>3228</v>
      </c>
      <c r="E36" s="836">
        <v>47843130</v>
      </c>
      <c r="F36" s="836">
        <v>47843130</v>
      </c>
      <c r="G36" s="836">
        <f t="shared" si="0"/>
        <v>0</v>
      </c>
      <c r="H36" s="835"/>
      <c r="I36" s="837"/>
    </row>
    <row r="37" spans="2:9">
      <c r="B37" s="834" t="s">
        <v>3192</v>
      </c>
      <c r="C37" s="835" t="s">
        <v>3209</v>
      </c>
      <c r="D37" s="835" t="s">
        <v>3229</v>
      </c>
      <c r="E37" s="836">
        <v>31003863</v>
      </c>
      <c r="F37" s="836">
        <v>31003863</v>
      </c>
      <c r="G37" s="836">
        <f t="shared" si="0"/>
        <v>0</v>
      </c>
      <c r="H37" s="835"/>
      <c r="I37" s="837"/>
    </row>
    <row r="38" spans="2:9">
      <c r="B38" s="834" t="s">
        <v>3192</v>
      </c>
      <c r="C38" s="835" t="s">
        <v>3209</v>
      </c>
      <c r="D38" s="835" t="s">
        <v>3230</v>
      </c>
      <c r="E38" s="836">
        <v>1848594</v>
      </c>
      <c r="F38" s="836">
        <v>1848594</v>
      </c>
      <c r="G38" s="836">
        <f t="shared" si="0"/>
        <v>0</v>
      </c>
      <c r="H38" s="835"/>
      <c r="I38" s="837"/>
    </row>
    <row r="39" spans="2:9">
      <c r="B39" s="834" t="s">
        <v>3192</v>
      </c>
      <c r="C39" s="835" t="s">
        <v>3209</v>
      </c>
      <c r="D39" s="835" t="s">
        <v>3231</v>
      </c>
      <c r="E39" s="836">
        <v>1890000</v>
      </c>
      <c r="F39" s="836">
        <v>1890000</v>
      </c>
      <c r="G39" s="836">
        <f t="shared" si="0"/>
        <v>0</v>
      </c>
      <c r="H39" s="835"/>
      <c r="I39" s="837"/>
    </row>
    <row r="40" spans="2:9">
      <c r="B40" s="834" t="s">
        <v>3192</v>
      </c>
      <c r="C40" s="835" t="s">
        <v>3209</v>
      </c>
      <c r="D40" s="835" t="s">
        <v>3232</v>
      </c>
      <c r="E40" s="836">
        <v>5986404</v>
      </c>
      <c r="F40" s="836">
        <v>5986404</v>
      </c>
      <c r="G40" s="836">
        <f t="shared" si="0"/>
        <v>0</v>
      </c>
      <c r="H40" s="835"/>
      <c r="I40" s="837"/>
    </row>
    <row r="41" spans="2:9">
      <c r="B41" s="834" t="s">
        <v>3192</v>
      </c>
      <c r="C41" s="835" t="s">
        <v>3209</v>
      </c>
      <c r="D41" s="835" t="s">
        <v>3233</v>
      </c>
      <c r="E41" s="836">
        <v>1656200</v>
      </c>
      <c r="F41" s="836">
        <v>1656200</v>
      </c>
      <c r="G41" s="836">
        <f t="shared" si="0"/>
        <v>0</v>
      </c>
      <c r="H41" s="835"/>
      <c r="I41" s="837"/>
    </row>
    <row r="42" spans="2:9">
      <c r="B42" s="834" t="s">
        <v>3192</v>
      </c>
      <c r="C42" s="835" t="s">
        <v>3209</v>
      </c>
      <c r="D42" s="835" t="s">
        <v>3234</v>
      </c>
      <c r="E42" s="836">
        <v>100000</v>
      </c>
      <c r="F42" s="836">
        <v>100000</v>
      </c>
      <c r="G42" s="836">
        <f t="shared" si="0"/>
        <v>0</v>
      </c>
      <c r="H42" s="835"/>
      <c r="I42" s="837"/>
    </row>
    <row r="43" spans="2:9">
      <c r="B43" s="834" t="s">
        <v>3192</v>
      </c>
      <c r="C43" s="835" t="s">
        <v>3209</v>
      </c>
      <c r="D43" s="835" t="s">
        <v>3235</v>
      </c>
      <c r="E43" s="836">
        <v>5000</v>
      </c>
      <c r="F43" s="836">
        <v>5000</v>
      </c>
      <c r="G43" s="836">
        <f t="shared" si="0"/>
        <v>0</v>
      </c>
      <c r="H43" s="835"/>
      <c r="I43" s="837"/>
    </row>
    <row r="44" spans="2:9">
      <c r="B44" s="834" t="s">
        <v>3192</v>
      </c>
      <c r="C44" s="835" t="s">
        <v>3209</v>
      </c>
      <c r="D44" s="835" t="s">
        <v>3236</v>
      </c>
      <c r="E44" s="836">
        <v>143040</v>
      </c>
      <c r="F44" s="836">
        <v>143040</v>
      </c>
      <c r="G44" s="836">
        <f t="shared" si="0"/>
        <v>0</v>
      </c>
      <c r="H44" s="835"/>
      <c r="I44" s="837"/>
    </row>
    <row r="45" spans="2:9">
      <c r="B45" s="834" t="s">
        <v>3192</v>
      </c>
      <c r="C45" s="835" t="s">
        <v>3241</v>
      </c>
      <c r="D45" s="835" t="s">
        <v>3237</v>
      </c>
      <c r="E45" s="836">
        <v>105598510</v>
      </c>
      <c r="F45" s="836">
        <v>105598510</v>
      </c>
      <c r="G45" s="836">
        <f t="shared" si="0"/>
        <v>0</v>
      </c>
      <c r="H45" s="835"/>
      <c r="I45" s="837"/>
    </row>
    <row r="46" spans="2:9">
      <c r="B46" s="834" t="s">
        <v>3192</v>
      </c>
      <c r="C46" s="835" t="s">
        <v>3241</v>
      </c>
      <c r="D46" s="835" t="s">
        <v>3238</v>
      </c>
      <c r="E46" s="836">
        <v>32612215</v>
      </c>
      <c r="F46" s="836">
        <v>32612215</v>
      </c>
      <c r="G46" s="836">
        <f t="shared" si="0"/>
        <v>0</v>
      </c>
      <c r="H46" s="835"/>
      <c r="I46" s="837"/>
    </row>
    <row r="47" spans="2:9">
      <c r="B47" s="834" t="s">
        <v>3192</v>
      </c>
      <c r="C47" s="835" t="s">
        <v>3241</v>
      </c>
      <c r="D47" s="835" t="s">
        <v>3239</v>
      </c>
      <c r="E47" s="836">
        <v>274</v>
      </c>
      <c r="F47" s="836">
        <v>274</v>
      </c>
      <c r="G47" s="836">
        <f t="shared" si="0"/>
        <v>0</v>
      </c>
      <c r="H47" s="835"/>
      <c r="I47" s="837"/>
    </row>
    <row r="48" spans="2:9">
      <c r="B48" s="834" t="s">
        <v>3192</v>
      </c>
      <c r="C48" s="835" t="s">
        <v>3241</v>
      </c>
      <c r="D48" s="835" t="s">
        <v>3240</v>
      </c>
      <c r="E48" s="836">
        <v>2940019</v>
      </c>
      <c r="F48" s="836">
        <v>2940019</v>
      </c>
      <c r="G48" s="836">
        <f t="shared" si="0"/>
        <v>0</v>
      </c>
      <c r="H48" s="835"/>
      <c r="I48" s="837"/>
    </row>
    <row r="49" spans="2:9">
      <c r="B49" s="834" t="s">
        <v>3192</v>
      </c>
      <c r="C49" s="835" t="s">
        <v>3248</v>
      </c>
      <c r="D49" s="835" t="s">
        <v>3242</v>
      </c>
      <c r="E49" s="836">
        <v>3258725</v>
      </c>
      <c r="F49" s="836">
        <v>3258725</v>
      </c>
      <c r="G49" s="836">
        <f t="shared" si="0"/>
        <v>0</v>
      </c>
      <c r="H49" s="835"/>
      <c r="I49" s="837"/>
    </row>
    <row r="50" spans="2:9">
      <c r="B50" s="834" t="s">
        <v>3192</v>
      </c>
      <c r="C50" s="835" t="s">
        <v>3248</v>
      </c>
      <c r="D50" s="835" t="s">
        <v>3243</v>
      </c>
      <c r="E50" s="836">
        <v>1199937</v>
      </c>
      <c r="F50" s="836">
        <v>1199937</v>
      </c>
      <c r="G50" s="836">
        <f t="shared" si="0"/>
        <v>0</v>
      </c>
      <c r="H50" s="835"/>
      <c r="I50" s="837"/>
    </row>
    <row r="51" spans="2:9">
      <c r="B51" s="834" t="s">
        <v>3192</v>
      </c>
      <c r="C51" s="835" t="s">
        <v>3248</v>
      </c>
      <c r="D51" s="835" t="s">
        <v>3244</v>
      </c>
      <c r="E51" s="836">
        <v>51366023</v>
      </c>
      <c r="F51" s="836">
        <v>51366023</v>
      </c>
      <c r="G51" s="836">
        <f t="shared" si="0"/>
        <v>0</v>
      </c>
      <c r="H51" s="835"/>
      <c r="I51" s="837"/>
    </row>
    <row r="52" spans="2:9">
      <c r="B52" s="834" t="s">
        <v>3192</v>
      </c>
      <c r="C52" s="835" t="s">
        <v>3248</v>
      </c>
      <c r="D52" s="835" t="s">
        <v>3245</v>
      </c>
      <c r="E52" s="836">
        <v>87402700</v>
      </c>
      <c r="F52" s="836">
        <v>87402700</v>
      </c>
      <c r="G52" s="836">
        <f t="shared" si="0"/>
        <v>0</v>
      </c>
      <c r="H52" s="835"/>
      <c r="I52" s="837"/>
    </row>
    <row r="53" spans="2:9">
      <c r="B53" s="834" t="s">
        <v>3192</v>
      </c>
      <c r="C53" s="835" t="s">
        <v>3248</v>
      </c>
      <c r="D53" s="835" t="s">
        <v>3246</v>
      </c>
      <c r="E53" s="836">
        <v>415980181</v>
      </c>
      <c r="F53" s="836">
        <v>415980181</v>
      </c>
      <c r="G53" s="836">
        <f t="shared" si="0"/>
        <v>0</v>
      </c>
      <c r="H53" s="835"/>
      <c r="I53" s="837"/>
    </row>
    <row r="54" spans="2:9" ht="17.25" thickBot="1">
      <c r="B54" s="834" t="s">
        <v>3192</v>
      </c>
      <c r="C54" s="835" t="s">
        <v>3248</v>
      </c>
      <c r="D54" s="835" t="s">
        <v>3247</v>
      </c>
      <c r="E54" s="836">
        <v>1</v>
      </c>
      <c r="F54" s="836">
        <v>1</v>
      </c>
      <c r="G54" s="836">
        <f t="shared" si="0"/>
        <v>0</v>
      </c>
      <c r="H54" s="835"/>
      <c r="I54" s="837"/>
    </row>
    <row r="55" spans="2:9" ht="17.25" thickBot="1">
      <c r="B55" s="1277" t="s">
        <v>3185</v>
      </c>
      <c r="C55" s="1278"/>
      <c r="D55" s="1278"/>
      <c r="E55" s="838">
        <f>SUM(E8:E54)</f>
        <v>1150360125</v>
      </c>
      <c r="F55" s="839">
        <f>SUM(F8:F54)</f>
        <v>1150360125</v>
      </c>
      <c r="G55" s="840">
        <f>SUM(G8:G54)</f>
        <v>0</v>
      </c>
      <c r="H55" s="841"/>
      <c r="I55" s="842"/>
    </row>
    <row r="56" spans="2:9" ht="17.25" thickBot="1">
      <c r="E56" s="821" t="b">
        <f>E55=A!J8</f>
        <v>1</v>
      </c>
    </row>
    <row r="57" spans="2:9" ht="17.25" thickBot="1">
      <c r="B57" s="830" t="s">
        <v>3176</v>
      </c>
      <c r="C57" s="831" t="s">
        <v>3177</v>
      </c>
      <c r="D57" s="831" t="s">
        <v>3178</v>
      </c>
      <c r="E57" s="831" t="s">
        <v>3179</v>
      </c>
      <c r="F57" s="832" t="s">
        <v>3180</v>
      </c>
      <c r="G57" s="832" t="s">
        <v>3181</v>
      </c>
      <c r="H57" s="832" t="s">
        <v>3182</v>
      </c>
      <c r="I57" s="833" t="s">
        <v>3183</v>
      </c>
    </row>
    <row r="58" spans="2:9">
      <c r="B58" s="834" t="s">
        <v>3249</v>
      </c>
      <c r="C58" s="835" t="s">
        <v>3209</v>
      </c>
      <c r="D58" s="835" t="s">
        <v>3250</v>
      </c>
      <c r="E58" s="836">
        <v>400000000</v>
      </c>
      <c r="F58" s="836">
        <v>400000000</v>
      </c>
      <c r="G58" s="836">
        <f>F58-E58</f>
        <v>0</v>
      </c>
      <c r="H58" s="835"/>
      <c r="I58" s="837"/>
    </row>
    <row r="59" spans="2:9">
      <c r="B59" s="834" t="s">
        <v>3249</v>
      </c>
      <c r="C59" s="835" t="s">
        <v>3209</v>
      </c>
      <c r="D59" s="835" t="s">
        <v>3251</v>
      </c>
      <c r="E59" s="836">
        <v>254926000</v>
      </c>
      <c r="F59" s="836">
        <v>254926000</v>
      </c>
      <c r="G59" s="836">
        <f t="shared" ref="G59:G68" si="1">F59-E59</f>
        <v>0</v>
      </c>
      <c r="H59" s="835"/>
      <c r="I59" s="837"/>
    </row>
    <row r="60" spans="2:9">
      <c r="B60" s="834" t="s">
        <v>3249</v>
      </c>
      <c r="C60" s="835" t="s">
        <v>3209</v>
      </c>
      <c r="D60" s="835" t="s">
        <v>3252</v>
      </c>
      <c r="E60" s="836">
        <v>1105245462</v>
      </c>
      <c r="F60" s="836">
        <v>1105245462</v>
      </c>
      <c r="G60" s="836">
        <f t="shared" si="1"/>
        <v>0</v>
      </c>
      <c r="H60" s="835"/>
      <c r="I60" s="837"/>
    </row>
    <row r="61" spans="2:9">
      <c r="B61" s="834" t="s">
        <v>3249</v>
      </c>
      <c r="C61" s="835" t="s">
        <v>3209</v>
      </c>
      <c r="D61" s="835" t="s">
        <v>3253</v>
      </c>
      <c r="E61" s="836">
        <v>784695881</v>
      </c>
      <c r="F61" s="836">
        <v>784695881</v>
      </c>
      <c r="G61" s="836">
        <f t="shared" si="1"/>
        <v>0</v>
      </c>
      <c r="H61" s="835"/>
      <c r="I61" s="837"/>
    </row>
    <row r="62" spans="2:9">
      <c r="B62" s="834" t="s">
        <v>3249</v>
      </c>
      <c r="C62" s="835" t="s">
        <v>3209</v>
      </c>
      <c r="D62" s="835" t="s">
        <v>3254</v>
      </c>
      <c r="E62" s="836">
        <v>579360</v>
      </c>
      <c r="F62" s="836">
        <v>579360</v>
      </c>
      <c r="G62" s="836">
        <f t="shared" si="1"/>
        <v>0</v>
      </c>
      <c r="H62" s="835"/>
      <c r="I62" s="837"/>
    </row>
    <row r="63" spans="2:9">
      <c r="B63" s="834" t="s">
        <v>3249</v>
      </c>
      <c r="C63" s="835" t="s">
        <v>3209</v>
      </c>
      <c r="D63" s="835" t="s">
        <v>3255</v>
      </c>
      <c r="E63" s="836">
        <v>1150000000</v>
      </c>
      <c r="F63" s="836">
        <v>1150000000</v>
      </c>
      <c r="G63" s="836">
        <f t="shared" si="1"/>
        <v>0</v>
      </c>
      <c r="H63" s="835"/>
      <c r="I63" s="837"/>
    </row>
    <row r="64" spans="2:9">
      <c r="B64" s="834" t="s">
        <v>3249</v>
      </c>
      <c r="C64" s="835" t="s">
        <v>3209</v>
      </c>
      <c r="D64" s="835" t="s">
        <v>3256</v>
      </c>
      <c r="E64" s="836">
        <v>550000000</v>
      </c>
      <c r="F64" s="836">
        <v>550000000</v>
      </c>
      <c r="G64" s="836">
        <f t="shared" si="1"/>
        <v>0</v>
      </c>
      <c r="H64" s="835"/>
      <c r="I64" s="837"/>
    </row>
    <row r="65" spans="2:10">
      <c r="B65" s="834" t="s">
        <v>3249</v>
      </c>
      <c r="C65" s="835" t="s">
        <v>3241</v>
      </c>
      <c r="D65" s="835" t="s">
        <v>3257</v>
      </c>
      <c r="E65" s="836">
        <v>500000000</v>
      </c>
      <c r="F65" s="836">
        <v>500000000</v>
      </c>
      <c r="G65" s="836">
        <f t="shared" si="1"/>
        <v>0</v>
      </c>
      <c r="H65" s="835"/>
      <c r="I65" s="837"/>
    </row>
    <row r="66" spans="2:10">
      <c r="B66" s="834" t="s">
        <v>3249</v>
      </c>
      <c r="C66" s="835" t="s">
        <v>3241</v>
      </c>
      <c r="D66" s="835" t="s">
        <v>3258</v>
      </c>
      <c r="E66" s="836">
        <v>100000000</v>
      </c>
      <c r="F66" s="836">
        <v>100000000</v>
      </c>
      <c r="G66" s="836">
        <f t="shared" si="1"/>
        <v>0</v>
      </c>
      <c r="H66" s="835"/>
      <c r="I66" s="837"/>
    </row>
    <row r="67" spans="2:10">
      <c r="B67" s="834" t="s">
        <v>3249</v>
      </c>
      <c r="C67" s="835" t="s">
        <v>3248</v>
      </c>
      <c r="D67" s="835" t="s">
        <v>3259</v>
      </c>
      <c r="E67" s="836">
        <v>120534707</v>
      </c>
      <c r="F67" s="836">
        <v>120534707</v>
      </c>
      <c r="G67" s="836">
        <f t="shared" si="1"/>
        <v>0</v>
      </c>
      <c r="H67" s="835"/>
      <c r="I67" s="837"/>
    </row>
    <row r="68" spans="2:10" ht="17.25" thickBot="1">
      <c r="B68" s="834" t="s">
        <v>3249</v>
      </c>
      <c r="C68" s="835" t="s">
        <v>3248</v>
      </c>
      <c r="D68" s="835" t="s">
        <v>3260</v>
      </c>
      <c r="E68" s="836">
        <v>250000000</v>
      </c>
      <c r="F68" s="836">
        <v>250000000</v>
      </c>
      <c r="G68" s="836">
        <f t="shared" si="1"/>
        <v>0</v>
      </c>
      <c r="H68" s="835"/>
      <c r="I68" s="837"/>
    </row>
    <row r="69" spans="2:10" ht="17.25" thickBot="1">
      <c r="B69" s="1277" t="s">
        <v>3186</v>
      </c>
      <c r="C69" s="1278"/>
      <c r="D69" s="1278"/>
      <c r="E69" s="838">
        <f>SUM(E58:E68)</f>
        <v>5215981410</v>
      </c>
      <c r="F69" s="839">
        <f>SUM(F58:F68)</f>
        <v>5215981410</v>
      </c>
      <c r="G69" s="840">
        <f>SUM(G58:G68)</f>
        <v>0</v>
      </c>
      <c r="H69" s="841"/>
      <c r="I69" s="842"/>
    </row>
    <row r="70" spans="2:10" ht="17.25" thickBot="1">
      <c r="E70" s="821" t="b">
        <f>E69=A!J9</f>
        <v>1</v>
      </c>
    </row>
    <row r="71" spans="2:10" ht="17.25" thickBot="1">
      <c r="B71" s="830" t="s">
        <v>3176</v>
      </c>
      <c r="C71" s="831" t="s">
        <v>3177</v>
      </c>
      <c r="D71" s="831" t="s">
        <v>3178</v>
      </c>
      <c r="E71" s="831" t="s">
        <v>3179</v>
      </c>
      <c r="F71" s="832" t="s">
        <v>3180</v>
      </c>
      <c r="G71" s="832" t="s">
        <v>3181</v>
      </c>
      <c r="H71" s="832" t="s">
        <v>3182</v>
      </c>
      <c r="I71" s="832" t="s">
        <v>4870</v>
      </c>
      <c r="J71" s="833" t="s">
        <v>4871</v>
      </c>
    </row>
    <row r="72" spans="2:10">
      <c r="B72" s="834" t="s">
        <v>3187</v>
      </c>
      <c r="C72" s="835" t="s">
        <v>3248</v>
      </c>
      <c r="D72" s="835" t="s">
        <v>3262</v>
      </c>
      <c r="E72" s="836">
        <v>67113000</v>
      </c>
      <c r="F72" s="836">
        <v>67113000</v>
      </c>
      <c r="G72" s="836">
        <f>F72-E72</f>
        <v>0</v>
      </c>
      <c r="H72" s="835"/>
      <c r="I72" s="835"/>
      <c r="J72" s="837"/>
    </row>
    <row r="73" spans="2:10">
      <c r="B73" s="834" t="s">
        <v>3187</v>
      </c>
      <c r="C73" s="835" t="s">
        <v>3248</v>
      </c>
      <c r="D73" s="835" t="s">
        <v>3263</v>
      </c>
      <c r="E73" s="836">
        <v>160000000</v>
      </c>
      <c r="F73" s="836">
        <v>160000000</v>
      </c>
      <c r="G73" s="836">
        <f t="shared" ref="G73:G75" si="2">F73-E73</f>
        <v>0</v>
      </c>
      <c r="H73" s="835"/>
      <c r="I73" s="835"/>
      <c r="J73" s="837"/>
    </row>
    <row r="74" spans="2:10">
      <c r="B74" s="834" t="s">
        <v>3187</v>
      </c>
      <c r="C74" s="835" t="s">
        <v>3248</v>
      </c>
      <c r="D74" s="835" t="s">
        <v>3264</v>
      </c>
      <c r="E74" s="836">
        <v>160000000</v>
      </c>
      <c r="F74" s="836">
        <v>160000000</v>
      </c>
      <c r="G74" s="836">
        <f t="shared" si="2"/>
        <v>0</v>
      </c>
      <c r="H74" s="835"/>
      <c r="I74" s="835"/>
      <c r="J74" s="837"/>
    </row>
    <row r="75" spans="2:10" ht="17.25" thickBot="1">
      <c r="B75" s="834" t="s">
        <v>3188</v>
      </c>
      <c r="C75" s="835" t="s">
        <v>3209</v>
      </c>
      <c r="D75" s="835" t="s">
        <v>3261</v>
      </c>
      <c r="E75" s="836">
        <v>156500000</v>
      </c>
      <c r="F75" s="836">
        <v>156500000</v>
      </c>
      <c r="G75" s="836">
        <f t="shared" si="2"/>
        <v>0</v>
      </c>
      <c r="H75" s="835"/>
      <c r="I75" s="835"/>
      <c r="J75" s="837"/>
    </row>
    <row r="76" spans="2:10" ht="17.25" thickBot="1">
      <c r="B76" s="1277" t="s">
        <v>3189</v>
      </c>
      <c r="C76" s="1278"/>
      <c r="D76" s="1278"/>
      <c r="E76" s="838">
        <f>SUM(E72:E75)</f>
        <v>543613000</v>
      </c>
      <c r="F76" s="839">
        <f>SUM(F72:F75)</f>
        <v>543613000</v>
      </c>
      <c r="G76" s="840">
        <f>SUM(G72:G75)</f>
        <v>0</v>
      </c>
      <c r="H76" s="841"/>
      <c r="I76" s="841"/>
      <c r="J76" s="842"/>
    </row>
    <row r="77" spans="2:10">
      <c r="E77" t="b">
        <f>E76=A!J10</f>
        <v>1</v>
      </c>
    </row>
    <row r="78" spans="2:10" ht="17.25" thickBot="1"/>
    <row r="79" spans="2:10" ht="17.25" thickBot="1">
      <c r="B79" s="830" t="s">
        <v>3176</v>
      </c>
      <c r="C79" s="831" t="s">
        <v>3177</v>
      </c>
      <c r="D79" s="831" t="s">
        <v>3178</v>
      </c>
      <c r="E79" s="831" t="s">
        <v>3179</v>
      </c>
      <c r="F79" s="832" t="s">
        <v>3180</v>
      </c>
      <c r="G79" s="832" t="s">
        <v>3181</v>
      </c>
      <c r="H79" s="832" t="s">
        <v>3182</v>
      </c>
      <c r="I79" s="833" t="s">
        <v>4881</v>
      </c>
    </row>
    <row r="80" spans="2:10" ht="17.25" thickBot="1">
      <c r="B80" s="834" t="s">
        <v>3191</v>
      </c>
      <c r="C80" s="835"/>
      <c r="D80" s="835"/>
      <c r="E80" s="836">
        <v>15748892</v>
      </c>
      <c r="F80" s="836"/>
      <c r="G80" s="836">
        <f>F80-E80</f>
        <v>-15748892</v>
      </c>
      <c r="H80" s="835"/>
      <c r="I80" s="837" t="s">
        <v>4880</v>
      </c>
    </row>
    <row r="81" spans="2:9" ht="17.25" thickBot="1">
      <c r="B81" s="1277" t="s">
        <v>3190</v>
      </c>
      <c r="C81" s="1278"/>
      <c r="D81" s="1278"/>
      <c r="E81" s="838">
        <f>SUM(E80:E80)</f>
        <v>15748892</v>
      </c>
      <c r="F81" s="839">
        <f>SUM(F80:F80)</f>
        <v>0</v>
      </c>
      <c r="G81" s="840">
        <f>SUM(G80:G80)</f>
        <v>-15748892</v>
      </c>
      <c r="H81" s="841"/>
      <c r="I81" s="842"/>
    </row>
    <row r="82" spans="2:9">
      <c r="E82" t="b">
        <f>E81=A!J11</f>
        <v>1</v>
      </c>
    </row>
  </sheetData>
  <mergeCells count="9">
    <mergeCell ref="I2:I3"/>
    <mergeCell ref="B69:D69"/>
    <mergeCell ref="B76:D76"/>
    <mergeCell ref="B81:D81"/>
    <mergeCell ref="B55:D55"/>
    <mergeCell ref="E1:F1"/>
    <mergeCell ref="G1:H1"/>
    <mergeCell ref="E2:F3"/>
    <mergeCell ref="G2:H3"/>
  </mergeCells>
  <phoneticPr fontId="137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P55"/>
  <sheetViews>
    <sheetView topLeftCell="A7" zoomScaleSheetLayoutView="85" workbookViewId="0">
      <selection activeCell="N16" sqref="N1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TableofContents!$D$14</f>
        <v>투자자산</v>
      </c>
      <c r="B2" s="449"/>
      <c r="C2" s="449"/>
      <c r="D2" s="449"/>
      <c r="E2" s="449"/>
      <c r="F2" s="449"/>
      <c r="G2" s="450"/>
      <c r="H2" s="1255" t="str">
        <f>"DIR - "&amp;TableofContents!$B$14</f>
        <v>DIR - F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59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1731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1735</v>
      </c>
    </row>
    <row r="18" spans="1:14" s="225" customFormat="1" ht="15.75" customHeight="1">
      <c r="A18" s="224"/>
      <c r="B18" s="224"/>
      <c r="C18" s="224"/>
      <c r="D18" s="224" t="s">
        <v>1736</v>
      </c>
    </row>
    <row r="19" spans="1:14" s="225" customFormat="1" ht="15.75" customHeight="1">
      <c r="A19" s="224"/>
      <c r="B19" s="224"/>
      <c r="C19" s="224"/>
    </row>
    <row r="20" spans="1:14" s="225" customFormat="1" ht="15.75" customHeight="1">
      <c r="A20" s="224"/>
      <c r="B20" s="224" t="s">
        <v>1069</v>
      </c>
      <c r="C20" s="224" t="s">
        <v>1732</v>
      </c>
      <c r="N20" s="247" t="s">
        <v>1307</v>
      </c>
    </row>
    <row r="21" spans="1:14" s="225" customFormat="1" ht="15.75" customHeight="1">
      <c r="A21" s="224"/>
      <c r="D21" s="471" t="s">
        <v>1727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A22" s="224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A23" s="224"/>
      <c r="B23" s="224" t="s">
        <v>1070</v>
      </c>
      <c r="C23" s="224" t="s">
        <v>1597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1592</v>
      </c>
    </row>
    <row r="24" spans="1:14" s="225" customFormat="1" ht="15.75" customHeight="1">
      <c r="A24" s="224"/>
      <c r="B24" s="224"/>
      <c r="C24" s="224"/>
      <c r="D24" s="224" t="s">
        <v>1733</v>
      </c>
    </row>
    <row r="25" spans="1:14" s="225" customFormat="1" ht="15.75" customHeight="1">
      <c r="A25" s="224"/>
      <c r="B25" s="224"/>
      <c r="C25" s="224"/>
      <c r="D25" s="224" t="s">
        <v>1734</v>
      </c>
    </row>
    <row r="26" spans="1:14" s="225" customFormat="1" ht="15.75" customHeight="1">
      <c r="B26" s="224"/>
      <c r="C26" s="224"/>
      <c r="D26" s="224"/>
    </row>
    <row r="27" spans="1:14" s="225" customFormat="1" ht="15.75" customHeight="1">
      <c r="B27" s="224" t="s">
        <v>1076</v>
      </c>
      <c r="C27" s="224" t="s">
        <v>1737</v>
      </c>
      <c r="D27" s="224"/>
      <c r="N27" s="247" t="s">
        <v>1592</v>
      </c>
    </row>
    <row r="28" spans="1:14" s="225" customFormat="1" ht="15.75" customHeight="1">
      <c r="B28" s="224"/>
      <c r="C28" s="224"/>
      <c r="D28" s="224"/>
      <c r="N28" s="247"/>
    </row>
    <row r="29" spans="1:14" s="225" customFormat="1" ht="15.75" customHeight="1">
      <c r="B29" s="224" t="s">
        <v>1360</v>
      </c>
      <c r="C29" s="224" t="s">
        <v>1738</v>
      </c>
      <c r="D29" s="224"/>
      <c r="N29" s="247" t="s">
        <v>1728</v>
      </c>
    </row>
    <row r="30" spans="1:14" s="225" customFormat="1" ht="15.75" customHeight="1">
      <c r="B30" s="224"/>
      <c r="C30" s="224"/>
      <c r="D30" s="224"/>
      <c r="N30" s="247"/>
    </row>
    <row r="31" spans="1:14" s="225" customFormat="1" ht="15.75" customHeight="1">
      <c r="B31" s="253" t="s">
        <v>1371</v>
      </c>
      <c r="C31" s="224" t="s">
        <v>1739</v>
      </c>
      <c r="D31" s="224"/>
      <c r="N31" s="247" t="s">
        <v>1729</v>
      </c>
    </row>
    <row r="32" spans="1:14" s="225" customFormat="1" ht="15.75" customHeight="1">
      <c r="A32" s="264"/>
      <c r="C32" s="224" t="s">
        <v>1740</v>
      </c>
      <c r="D32" s="472"/>
      <c r="N32" s="247"/>
    </row>
    <row r="33" spans="1:14" s="225" customFormat="1" ht="15.75" customHeight="1">
      <c r="A33" s="264"/>
      <c r="D33" s="472"/>
      <c r="N33" s="247"/>
    </row>
    <row r="34" spans="1:14" s="225" customFormat="1" ht="15.75" customHeight="1">
      <c r="A34" s="264"/>
      <c r="B34" s="224" t="s">
        <v>1375</v>
      </c>
      <c r="C34" s="224" t="s">
        <v>1741</v>
      </c>
      <c r="D34" s="472"/>
      <c r="N34" s="247" t="s">
        <v>1470</v>
      </c>
    </row>
    <row r="35" spans="1:14" s="225" customFormat="1" ht="15.75" customHeight="1">
      <c r="A35" s="264"/>
      <c r="C35" s="224"/>
      <c r="D35" s="472" t="s">
        <v>1730</v>
      </c>
      <c r="N35" s="247"/>
    </row>
    <row r="36" spans="1:14" s="225" customFormat="1" ht="15.75" customHeight="1">
      <c r="A36" s="264"/>
      <c r="C36" s="224"/>
      <c r="D36" s="472"/>
      <c r="N36" s="247"/>
    </row>
    <row r="37" spans="1:14" s="225" customFormat="1" ht="15.75" customHeight="1">
      <c r="A37" s="264"/>
      <c r="B37" s="224" t="s">
        <v>1376</v>
      </c>
      <c r="C37" s="224" t="s">
        <v>1742</v>
      </c>
      <c r="D37" s="224"/>
      <c r="N37" s="247" t="s">
        <v>1611</v>
      </c>
    </row>
    <row r="38" spans="1:14" s="225" customFormat="1" ht="15.75" customHeight="1">
      <c r="A38" s="264"/>
      <c r="D38" s="472"/>
      <c r="N38" s="475"/>
    </row>
    <row r="39" spans="1:14" s="225" customFormat="1" ht="15.75" customHeight="1">
      <c r="A39" s="264"/>
      <c r="B39" s="224" t="s">
        <v>1379</v>
      </c>
      <c r="C39" s="224" t="s">
        <v>1504</v>
      </c>
      <c r="D39" s="224"/>
      <c r="N39" s="247" t="s">
        <v>1584</v>
      </c>
    </row>
    <row r="40" spans="1:14" s="225" customFormat="1" ht="15.75" customHeight="1">
      <c r="A40" s="264"/>
      <c r="C40" s="224"/>
      <c r="D40" s="472" t="s">
        <v>1744</v>
      </c>
      <c r="N40" s="247"/>
    </row>
    <row r="41" spans="1:14" s="225" customFormat="1" ht="15.75" customHeight="1">
      <c r="A41" s="264"/>
      <c r="C41" s="224"/>
      <c r="D41" s="472" t="s">
        <v>1743</v>
      </c>
      <c r="N41" s="247"/>
    </row>
    <row r="42" spans="1:14" s="225" customFormat="1" ht="15.75" customHeight="1">
      <c r="A42" s="264"/>
      <c r="C42" s="224"/>
      <c r="D42" s="472" t="s">
        <v>1745</v>
      </c>
      <c r="N42" s="247"/>
    </row>
    <row r="43" spans="1:14" s="225" customFormat="1" ht="15.75" customHeight="1">
      <c r="A43" s="264"/>
      <c r="D43" s="224"/>
      <c r="N43" s="247"/>
    </row>
    <row r="44" spans="1:14" s="225" customFormat="1" ht="15.75" customHeight="1">
      <c r="A44" s="264"/>
      <c r="B44" s="224" t="s">
        <v>1381</v>
      </c>
      <c r="C44" s="224" t="s">
        <v>1509</v>
      </c>
      <c r="D44" s="224"/>
      <c r="N44" s="247" t="s">
        <v>1588</v>
      </c>
    </row>
    <row r="45" spans="1:14" s="225" customFormat="1" ht="15.75" customHeight="1">
      <c r="A45" s="264"/>
      <c r="D45" s="224"/>
      <c r="N45" s="247"/>
    </row>
    <row r="46" spans="1:14" s="225" customFormat="1" ht="15.75" customHeight="1">
      <c r="A46" s="264"/>
      <c r="B46" s="224" t="s">
        <v>1383</v>
      </c>
      <c r="C46" s="224" t="s">
        <v>1386</v>
      </c>
      <c r="D46" s="224"/>
      <c r="N46" s="247" t="s">
        <v>1311</v>
      </c>
    </row>
    <row r="47" spans="1:14" s="225" customFormat="1" ht="15.75" customHeight="1">
      <c r="A47" s="264"/>
      <c r="D47" s="472" t="s">
        <v>1746</v>
      </c>
    </row>
    <row r="48" spans="1:14" s="225" customFormat="1" ht="15.75" customHeight="1">
      <c r="A48" s="264"/>
      <c r="D48" s="472" t="s">
        <v>1747</v>
      </c>
    </row>
    <row r="49" spans="1:14" s="225" customFormat="1" ht="15.75" customHeight="1">
      <c r="A49" s="264"/>
      <c r="D49" s="472" t="s">
        <v>1748</v>
      </c>
    </row>
    <row r="50" spans="1:14" s="225" customFormat="1" ht="15.75" customHeight="1">
      <c r="D50" s="472" t="s">
        <v>1749</v>
      </c>
    </row>
    <row r="51" spans="1:14" s="225" customFormat="1" ht="15.75" customHeight="1">
      <c r="D51" s="472" t="s">
        <v>1750</v>
      </c>
    </row>
    <row r="52" spans="1:14" s="225" customFormat="1" ht="15.75" customHeight="1">
      <c r="B52" s="253"/>
      <c r="C52" s="224"/>
      <c r="D52" s="224"/>
      <c r="M52" s="229"/>
      <c r="N52" s="229"/>
    </row>
    <row r="53" spans="1:14" s="225" customFormat="1" ht="15.75" customHeight="1">
      <c r="B53" s="224" t="s">
        <v>1384</v>
      </c>
      <c r="C53" s="224" t="s">
        <v>1391</v>
      </c>
      <c r="D53" s="224"/>
    </row>
    <row r="54" spans="1:14" s="225" customFormat="1" ht="15.75" customHeight="1"/>
    <row r="55" spans="1:14" s="225" customFormat="1" ht="15.75" customHeight="1">
      <c r="B55" s="224"/>
      <c r="C5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67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25">
    <tabColor rgb="FF00B050"/>
  </sheetPr>
  <dimension ref="A1:K41"/>
  <sheetViews>
    <sheetView topLeftCell="A16" zoomScaleSheetLayoutView="85" workbookViewId="0">
      <selection activeCell="N16" sqref="N1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451"/>
      <c r="C1" s="451"/>
      <c r="D1" s="451"/>
      <c r="E1" s="451"/>
      <c r="F1" s="1271" t="s">
        <v>708</v>
      </c>
      <c r="G1" s="1272"/>
      <c r="H1" s="1273" t="s">
        <v>709</v>
      </c>
      <c r="I1" s="1273"/>
      <c r="J1" s="374" t="s">
        <v>710</v>
      </c>
    </row>
    <row r="2" spans="1:11" ht="15.75" customHeight="1">
      <c r="A2" s="371" t="str">
        <f>TableofContents!$D$14</f>
        <v>투자자산</v>
      </c>
      <c r="B2" s="451"/>
      <c r="C2" s="451"/>
      <c r="D2" s="451"/>
      <c r="E2" s="451"/>
      <c r="F2" s="1274" t="str">
        <f>TableofContents!$B$14</f>
        <v>F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451"/>
      <c r="C3" s="451"/>
      <c r="D3" s="451"/>
      <c r="E3" s="451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FS_worksheet!C36</f>
        <v xml:space="preserve">      퇴직연금운용자산</v>
      </c>
      <c r="C7" s="230"/>
      <c r="D7" s="230">
        <f>VLOOKUP($B7,FS_worksheet!$C$11:$H$116,3,FALSE)</f>
        <v>60125154</v>
      </c>
      <c r="E7" s="230"/>
      <c r="F7" s="230">
        <f t="shared" ref="F7:F12" si="0">H7+J7-D7</f>
        <v>-15745771</v>
      </c>
      <c r="G7" s="232"/>
      <c r="H7" s="230"/>
      <c r="I7" s="230"/>
      <c r="J7" s="230">
        <f>VLOOKUP($B7,FS_worksheet!$C$11:$H$116,5,FALSE)</f>
        <v>44379383</v>
      </c>
      <c r="K7" s="233"/>
    </row>
    <row r="8" spans="1:11" ht="15.75" customHeight="1">
      <c r="A8" s="233"/>
      <c r="B8" s="234" t="e">
        <f>FS_worksheet!C37</f>
        <v>#REF!</v>
      </c>
      <c r="C8" s="233"/>
      <c r="D8" s="233" t="e">
        <f>VLOOKUP($B8,FS_worksheet!$C$11:$H$116,3,FALSE)</f>
        <v>#REF!</v>
      </c>
      <c r="E8" s="233"/>
      <c r="F8" s="233" t="e">
        <f t="shared" si="0"/>
        <v>#REF!</v>
      </c>
      <c r="G8" s="235"/>
      <c r="H8" s="233"/>
      <c r="I8" s="233"/>
      <c r="J8" s="233" t="e">
        <f>VLOOKUP($B8,FS_worksheet!$C$11:$H$116,5,FALSE)</f>
        <v>#REF!</v>
      </c>
      <c r="K8" s="233"/>
    </row>
    <row r="9" spans="1:11" ht="15.75" customHeight="1">
      <c r="A9" s="230"/>
      <c r="B9" s="231" t="e">
        <f>FS_worksheet!C38</f>
        <v>#REF!</v>
      </c>
      <c r="C9" s="230"/>
      <c r="D9" s="230" t="e">
        <f>VLOOKUP($B9,FS_worksheet!$C$11:$H$116,3,FALSE)</f>
        <v>#REF!</v>
      </c>
      <c r="E9" s="230"/>
      <c r="F9" s="230" t="e">
        <f t="shared" si="0"/>
        <v>#REF!</v>
      </c>
      <c r="G9" s="232"/>
      <c r="H9" s="230"/>
      <c r="I9" s="230"/>
      <c r="J9" s="230" t="e">
        <f>VLOOKUP($B9,FS_worksheet!$C$11:$H$116,5,FALSE)</f>
        <v>#REF!</v>
      </c>
      <c r="K9" s="233"/>
    </row>
    <row r="10" spans="1:11" ht="15.75" customHeight="1">
      <c r="A10" s="233"/>
      <c r="B10" s="234" t="e">
        <f>FS_worksheet!C39</f>
        <v>#REF!</v>
      </c>
      <c r="C10" s="233"/>
      <c r="D10" s="233" t="e">
        <f>VLOOKUP($B10,FS_worksheet!$C$11:$H$116,3,FALSE)</f>
        <v>#REF!</v>
      </c>
      <c r="E10" s="233"/>
      <c r="F10" s="233" t="e">
        <f t="shared" si="0"/>
        <v>#REF!</v>
      </c>
      <c r="G10" s="235"/>
      <c r="H10" s="233"/>
      <c r="I10" s="233"/>
      <c r="J10" s="233" t="e">
        <f>VLOOKUP($B10,FS_worksheet!$C$11:$H$116,5,FALSE)</f>
        <v>#REF!</v>
      </c>
      <c r="K10" s="233"/>
    </row>
    <row r="11" spans="1:11" ht="15.75" customHeight="1">
      <c r="A11" s="230"/>
      <c r="B11" s="231" t="e">
        <f>FS_worksheet!C40</f>
        <v>#REF!</v>
      </c>
      <c r="C11" s="230"/>
      <c r="D11" s="230" t="e">
        <f>VLOOKUP($B11,FS_worksheet!$C$11:$H$116,3,FALSE)</f>
        <v>#REF!</v>
      </c>
      <c r="E11" s="230"/>
      <c r="F11" s="230" t="e">
        <f t="shared" si="0"/>
        <v>#REF!</v>
      </c>
      <c r="G11" s="232"/>
      <c r="H11" s="230"/>
      <c r="I11" s="230"/>
      <c r="J11" s="230" t="e">
        <f>VLOOKUP($B11,FS_worksheet!$C$11:$H$116,5,FALSE)</f>
        <v>#REF!</v>
      </c>
      <c r="K11" s="233"/>
    </row>
    <row r="12" spans="1:11" ht="15.75" customHeight="1">
      <c r="A12" s="233"/>
      <c r="B12" s="234" t="e">
        <f>FS_worksheet!C42</f>
        <v>#REF!</v>
      </c>
      <c r="C12" s="233"/>
      <c r="D12" s="233" t="e">
        <f>VLOOKUP($B12,FS_worksheet!$C$11:$H$116,3,FALSE)</f>
        <v>#REF!</v>
      </c>
      <c r="E12" s="233"/>
      <c r="F12" s="233" t="e">
        <f t="shared" si="0"/>
        <v>#REF!</v>
      </c>
      <c r="G12" s="235"/>
      <c r="H12" s="233"/>
      <c r="I12" s="233"/>
      <c r="J12" s="233" t="e">
        <f>VLOOKUP($B12,FS_worksheet!$C$11:$H$116,5,FALSE)</f>
        <v>#REF!</v>
      </c>
      <c r="K12" s="233"/>
    </row>
    <row r="15" spans="1:11" ht="15.75" customHeight="1">
      <c r="A15" s="222" t="s">
        <v>722</v>
      </c>
    </row>
    <row r="16" spans="1:11" ht="15.75" customHeight="1">
      <c r="A16" s="227" t="s">
        <v>610</v>
      </c>
      <c r="B16" s="223" t="s">
        <v>825</v>
      </c>
    </row>
    <row r="17" spans="1:2" ht="15.75" customHeight="1">
      <c r="A17" s="227" t="s">
        <v>34</v>
      </c>
      <c r="B17" s="223" t="s">
        <v>826</v>
      </c>
    </row>
    <row r="18" spans="1:2" ht="15.75" customHeight="1">
      <c r="A18" s="227" t="s">
        <v>35</v>
      </c>
      <c r="B18" s="223" t="s">
        <v>827</v>
      </c>
    </row>
    <row r="19" spans="1:2" ht="15.75" customHeight="1">
      <c r="A19" s="227" t="s">
        <v>36</v>
      </c>
      <c r="B19" s="223" t="s">
        <v>828</v>
      </c>
    </row>
    <row r="20" spans="1:2" ht="15.75" customHeight="1">
      <c r="A20" s="227" t="s">
        <v>39</v>
      </c>
      <c r="B20" s="223" t="s">
        <v>810</v>
      </c>
    </row>
    <row r="21" spans="1:2" ht="15.75" customHeight="1">
      <c r="A21" s="227"/>
    </row>
    <row r="23" spans="1:2" ht="15.75" customHeight="1">
      <c r="A23" s="222" t="s">
        <v>723</v>
      </c>
    </row>
    <row r="24" spans="1:2" ht="15.75" customHeight="1">
      <c r="A24" s="227" t="s">
        <v>610</v>
      </c>
      <c r="B24" s="223" t="s">
        <v>829</v>
      </c>
    </row>
    <row r="25" spans="1:2" ht="15.75" customHeight="1">
      <c r="A25" s="227" t="s">
        <v>611</v>
      </c>
      <c r="B25" s="223" t="s">
        <v>830</v>
      </c>
    </row>
    <row r="26" spans="1:2" ht="15.75" customHeight="1">
      <c r="A26" s="227" t="s">
        <v>612</v>
      </c>
      <c r="B26" s="223" t="s">
        <v>831</v>
      </c>
    </row>
    <row r="27" spans="1:2" ht="15.75" customHeight="1">
      <c r="A27" s="227" t="s">
        <v>613</v>
      </c>
      <c r="B27" s="223" t="s">
        <v>832</v>
      </c>
    </row>
    <row r="29" spans="1:2" s="225" customFormat="1" ht="15.75" customHeight="1">
      <c r="A29" s="228" t="s">
        <v>248</v>
      </c>
    </row>
    <row r="30" spans="1:2" s="225" customFormat="1" ht="15.75" customHeight="1"/>
    <row r="31" spans="1:2" s="225" customFormat="1" ht="15.75" customHeight="1"/>
    <row r="32" spans="1:2" s="225" customFormat="1" ht="15.75" customHeight="1">
      <c r="A32" s="228" t="s">
        <v>762</v>
      </c>
    </row>
    <row r="33" spans="1:6" s="225" customFormat="1" ht="15.75" customHeight="1">
      <c r="A33" s="253" t="s">
        <v>761</v>
      </c>
    </row>
    <row r="34" spans="1:6" s="225" customFormat="1" ht="15.75" customHeight="1">
      <c r="A34" s="264"/>
      <c r="B34" s="225" t="s">
        <v>754</v>
      </c>
      <c r="F34" s="225" t="s">
        <v>755</v>
      </c>
    </row>
    <row r="35" spans="1:6" s="225" customFormat="1" ht="15.75" customHeight="1"/>
    <row r="36" spans="1:6" s="225" customFormat="1" ht="15.75" customHeight="1"/>
    <row r="37" spans="1:6" s="225" customFormat="1" ht="15.75" customHeight="1"/>
    <row r="38" spans="1:6" s="225" customFormat="1" ht="15.75" customHeight="1"/>
    <row r="39" spans="1:6" s="225" customFormat="1" ht="15.75" customHeight="1"/>
    <row r="40" spans="1:6" s="225" customFormat="1" ht="15.75" customHeight="1"/>
    <row r="41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7" right="0.7" top="0.75" bottom="0.75" header="0.3" footer="0.3"/>
  <pageSetup paperSize="9" scale="8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H789"/>
  <sheetViews>
    <sheetView workbookViewId="0">
      <selection activeCell="C70" sqref="C70"/>
    </sheetView>
  </sheetViews>
  <sheetFormatPr defaultRowHeight="16.5"/>
  <cols>
    <col min="1" max="1" width="15.5" customWidth="1"/>
    <col min="2" max="2" width="37.125" bestFit="1" customWidth="1"/>
    <col min="3" max="3" width="23" bestFit="1" customWidth="1"/>
    <col min="4" max="5" width="13.125" bestFit="1" customWidth="1"/>
    <col min="6" max="6" width="9.75" bestFit="1" customWidth="1"/>
    <col min="7" max="7" width="11.375" bestFit="1" customWidth="1"/>
  </cols>
  <sheetData>
    <row r="1" spans="1:8">
      <c r="A1" s="448" t="str">
        <f>기본사항!$C$2</f>
        <v>(재)한국여성재단</v>
      </c>
      <c r="B1" s="449"/>
      <c r="C1" s="449"/>
      <c r="D1" s="1253" t="s">
        <v>112</v>
      </c>
      <c r="E1" s="1254"/>
      <c r="F1" s="1253" t="s">
        <v>0</v>
      </c>
      <c r="G1" s="1254"/>
      <c r="H1" s="890" t="s">
        <v>1</v>
      </c>
    </row>
    <row r="2" spans="1:8">
      <c r="A2" s="448" t="str">
        <f>TableofContents!$D$8</f>
        <v>현금및현금성자산, 장단기금융상품</v>
      </c>
      <c r="B2" s="449"/>
      <c r="C2" s="449"/>
      <c r="D2" s="1255" t="str">
        <f>TableofContents!$B$8</f>
        <v>A</v>
      </c>
      <c r="E2" s="1256"/>
      <c r="F2" s="1259">
        <f>기본사항!$C$14</f>
        <v>40563</v>
      </c>
      <c r="G2" s="1260"/>
      <c r="H2" s="1263" t="str">
        <f>기본사항!$C$17</f>
        <v>Kbj</v>
      </c>
    </row>
    <row r="3" spans="1:8">
      <c r="A3" s="448" t="str">
        <f>기본사항!$C$9</f>
        <v>A : 12-31-2011</v>
      </c>
      <c r="B3" s="449"/>
      <c r="C3" s="449"/>
      <c r="D3" s="1257"/>
      <c r="E3" s="1258"/>
      <c r="F3" s="1261"/>
      <c r="G3" s="1262"/>
      <c r="H3" s="1264"/>
    </row>
    <row r="5" spans="1:8">
      <c r="A5" t="s">
        <v>5371</v>
      </c>
    </row>
    <row r="6" spans="1:8">
      <c r="A6" t="s">
        <v>5370</v>
      </c>
    </row>
    <row r="9" spans="1:8">
      <c r="A9" s="995" t="s">
        <v>3589</v>
      </c>
      <c r="B9" s="995" t="s">
        <v>3590</v>
      </c>
      <c r="C9" s="995" t="s">
        <v>3592</v>
      </c>
      <c r="D9" s="995" t="s">
        <v>3593</v>
      </c>
      <c r="E9" s="995" t="s">
        <v>3594</v>
      </c>
      <c r="F9" s="995" t="s">
        <v>3030</v>
      </c>
      <c r="G9" s="995" t="s">
        <v>3595</v>
      </c>
    </row>
    <row r="10" spans="1:8">
      <c r="A10" s="915" t="s">
        <v>3997</v>
      </c>
      <c r="B10" s="916" t="s">
        <v>3998</v>
      </c>
      <c r="C10" s="916" t="s">
        <v>4257</v>
      </c>
      <c r="D10" s="915"/>
      <c r="E10" s="917">
        <v>2819520</v>
      </c>
      <c r="F10" s="918"/>
      <c r="G10" s="918"/>
    </row>
    <row r="11" spans="1:8">
      <c r="A11" s="915" t="s">
        <v>3997</v>
      </c>
      <c r="B11" s="916" t="s">
        <v>4895</v>
      </c>
      <c r="C11" s="916" t="s">
        <v>4896</v>
      </c>
      <c r="D11" s="915" t="s">
        <v>4897</v>
      </c>
      <c r="E11" s="917">
        <v>3640400</v>
      </c>
      <c r="F11" s="918"/>
      <c r="G11" s="918"/>
    </row>
    <row r="12" spans="1:8">
      <c r="A12" s="915" t="s">
        <v>3997</v>
      </c>
      <c r="B12" s="916" t="s">
        <v>4895</v>
      </c>
      <c r="C12" s="916" t="s">
        <v>4898</v>
      </c>
      <c r="D12" s="915"/>
      <c r="E12" s="918"/>
      <c r="F12" s="917">
        <v>3640400</v>
      </c>
      <c r="G12" s="918"/>
    </row>
    <row r="13" spans="1:8">
      <c r="A13" s="915" t="s">
        <v>3997</v>
      </c>
      <c r="B13" s="916" t="s">
        <v>4899</v>
      </c>
      <c r="C13" s="916" t="s">
        <v>4257</v>
      </c>
      <c r="D13" s="915"/>
      <c r="E13" s="918"/>
      <c r="F13" s="917">
        <v>50800</v>
      </c>
      <c r="G13" s="918"/>
    </row>
    <row r="14" spans="1:8" ht="22.5">
      <c r="A14" s="915" t="s">
        <v>3997</v>
      </c>
      <c r="B14" s="916" t="s">
        <v>4900</v>
      </c>
      <c r="C14" s="916" t="s">
        <v>4898</v>
      </c>
      <c r="D14" s="915"/>
      <c r="E14" s="917">
        <v>286700</v>
      </c>
      <c r="F14" s="918"/>
      <c r="G14" s="918"/>
    </row>
    <row r="15" spans="1:8">
      <c r="A15" s="915" t="s">
        <v>3997</v>
      </c>
      <c r="B15" s="916" t="s">
        <v>4901</v>
      </c>
      <c r="C15" s="916" t="s">
        <v>4257</v>
      </c>
      <c r="D15" s="915"/>
      <c r="E15" s="917">
        <v>10000</v>
      </c>
      <c r="F15" s="918"/>
      <c r="G15" s="918"/>
    </row>
    <row r="16" spans="1:8">
      <c r="A16" s="915" t="s">
        <v>3997</v>
      </c>
      <c r="B16" s="916" t="s">
        <v>4902</v>
      </c>
      <c r="C16" s="916" t="s">
        <v>4903</v>
      </c>
      <c r="D16" s="915"/>
      <c r="E16" s="918"/>
      <c r="F16" s="917">
        <v>31500</v>
      </c>
      <c r="G16" s="918"/>
    </row>
    <row r="17" spans="1:7">
      <c r="A17" s="915" t="s">
        <v>3997</v>
      </c>
      <c r="B17" s="916" t="s">
        <v>4904</v>
      </c>
      <c r="C17" s="916" t="s">
        <v>4486</v>
      </c>
      <c r="D17" s="915"/>
      <c r="E17" s="917">
        <v>10000</v>
      </c>
      <c r="F17" s="918"/>
      <c r="G17" s="918"/>
    </row>
    <row r="18" spans="1:7">
      <c r="A18" s="915" t="s">
        <v>3997</v>
      </c>
      <c r="B18" s="916" t="s">
        <v>4905</v>
      </c>
      <c r="C18" s="916" t="s">
        <v>4906</v>
      </c>
      <c r="D18" s="915"/>
      <c r="E18" s="917">
        <v>100000</v>
      </c>
      <c r="F18" s="918"/>
      <c r="G18" s="918"/>
    </row>
    <row r="19" spans="1:7">
      <c r="A19" s="915" t="s">
        <v>3997</v>
      </c>
      <c r="B19" s="916" t="s">
        <v>4907</v>
      </c>
      <c r="C19" s="916" t="s">
        <v>4908</v>
      </c>
      <c r="D19" s="915" t="s">
        <v>4897</v>
      </c>
      <c r="E19" s="918"/>
      <c r="F19" s="917">
        <v>27500</v>
      </c>
      <c r="G19" s="918"/>
    </row>
    <row r="20" spans="1:7">
      <c r="A20" s="915" t="s">
        <v>3997</v>
      </c>
      <c r="B20" s="916" t="s">
        <v>4909</v>
      </c>
      <c r="C20" s="916" t="s">
        <v>4910</v>
      </c>
      <c r="D20" s="915"/>
      <c r="E20" s="917">
        <v>450000</v>
      </c>
      <c r="F20" s="918"/>
      <c r="G20" s="918"/>
    </row>
    <row r="21" spans="1:7">
      <c r="A21" s="915" t="s">
        <v>3997</v>
      </c>
      <c r="B21" s="916" t="s">
        <v>4395</v>
      </c>
      <c r="C21" s="916" t="s">
        <v>4366</v>
      </c>
      <c r="D21" s="915"/>
      <c r="E21" s="917">
        <v>1994340</v>
      </c>
      <c r="F21" s="918"/>
      <c r="G21" s="917">
        <v>1283726168</v>
      </c>
    </row>
    <row r="22" spans="1:7">
      <c r="A22" s="915" t="s">
        <v>3852</v>
      </c>
      <c r="B22" s="916" t="s">
        <v>4911</v>
      </c>
      <c r="C22" s="916" t="s">
        <v>4912</v>
      </c>
      <c r="D22" s="915"/>
      <c r="E22" s="918"/>
      <c r="F22" s="917">
        <v>1731210</v>
      </c>
      <c r="G22" s="918"/>
    </row>
    <row r="23" spans="1:7">
      <c r="A23" s="915" t="s">
        <v>3852</v>
      </c>
      <c r="B23" s="916" t="s">
        <v>4913</v>
      </c>
      <c r="C23" s="916" t="s">
        <v>4257</v>
      </c>
      <c r="D23" s="915"/>
      <c r="E23" s="918"/>
      <c r="F23" s="917">
        <v>268790</v>
      </c>
      <c r="G23" s="918"/>
    </row>
    <row r="24" spans="1:7">
      <c r="A24" s="915" t="s">
        <v>3852</v>
      </c>
      <c r="B24" s="916" t="s">
        <v>4914</v>
      </c>
      <c r="C24" s="916" t="s">
        <v>4903</v>
      </c>
      <c r="D24" s="915"/>
      <c r="E24" s="918"/>
      <c r="F24" s="917">
        <v>4500</v>
      </c>
      <c r="G24" s="918"/>
    </row>
    <row r="25" spans="1:7">
      <c r="A25" s="915" t="s">
        <v>3852</v>
      </c>
      <c r="B25" s="916" t="s">
        <v>4914</v>
      </c>
      <c r="C25" s="916" t="s">
        <v>4903</v>
      </c>
      <c r="D25" s="915"/>
      <c r="E25" s="918"/>
      <c r="F25" s="917">
        <v>4500</v>
      </c>
      <c r="G25" s="918"/>
    </row>
    <row r="26" spans="1:7">
      <c r="A26" s="915" t="s">
        <v>3852</v>
      </c>
      <c r="B26" s="916" t="s">
        <v>4915</v>
      </c>
      <c r="C26" s="916" t="s">
        <v>4903</v>
      </c>
      <c r="D26" s="915"/>
      <c r="E26" s="918"/>
      <c r="F26" s="917">
        <v>200000</v>
      </c>
      <c r="G26" s="918"/>
    </row>
    <row r="27" spans="1:7">
      <c r="A27" s="915" t="s">
        <v>3852</v>
      </c>
      <c r="B27" s="916" t="s">
        <v>4916</v>
      </c>
      <c r="C27" s="916" t="s">
        <v>4917</v>
      </c>
      <c r="D27" s="915" t="s">
        <v>4918</v>
      </c>
      <c r="E27" s="917">
        <v>260190</v>
      </c>
      <c r="F27" s="918"/>
      <c r="G27" s="918"/>
    </row>
    <row r="28" spans="1:7">
      <c r="A28" s="915" t="s">
        <v>3852</v>
      </c>
      <c r="B28" s="916" t="s">
        <v>4916</v>
      </c>
      <c r="C28" s="916" t="s">
        <v>4896</v>
      </c>
      <c r="D28" s="915" t="s">
        <v>4897</v>
      </c>
      <c r="E28" s="918"/>
      <c r="F28" s="917">
        <v>260190</v>
      </c>
      <c r="G28" s="918"/>
    </row>
    <row r="29" spans="1:7">
      <c r="A29" s="915" t="s">
        <v>3852</v>
      </c>
      <c r="B29" s="916" t="s">
        <v>3853</v>
      </c>
      <c r="C29" s="916" t="s">
        <v>4257</v>
      </c>
      <c r="D29" s="915"/>
      <c r="E29" s="917">
        <v>1990000</v>
      </c>
      <c r="F29" s="918"/>
      <c r="G29" s="918"/>
    </row>
    <row r="30" spans="1:7">
      <c r="A30" s="915" t="s">
        <v>3852</v>
      </c>
      <c r="B30" s="916" t="s">
        <v>3999</v>
      </c>
      <c r="C30" s="916" t="s">
        <v>4257</v>
      </c>
      <c r="D30" s="915"/>
      <c r="E30" s="917">
        <v>895589</v>
      </c>
      <c r="F30" s="918"/>
      <c r="G30" s="918"/>
    </row>
    <row r="31" spans="1:7">
      <c r="A31" s="915" t="s">
        <v>3852</v>
      </c>
      <c r="B31" s="916" t="s">
        <v>4919</v>
      </c>
      <c r="C31" s="916" t="s">
        <v>4257</v>
      </c>
      <c r="D31" s="915"/>
      <c r="E31" s="917">
        <v>2000000</v>
      </c>
      <c r="F31" s="918"/>
      <c r="G31" s="918"/>
    </row>
    <row r="32" spans="1:7">
      <c r="A32" s="915" t="s">
        <v>3852</v>
      </c>
      <c r="B32" s="916" t="s">
        <v>4920</v>
      </c>
      <c r="C32" s="916" t="s">
        <v>4257</v>
      </c>
      <c r="D32" s="915"/>
      <c r="E32" s="917">
        <v>2500000</v>
      </c>
      <c r="F32" s="918"/>
      <c r="G32" s="918"/>
    </row>
    <row r="33" spans="1:7">
      <c r="A33" s="915" t="s">
        <v>3852</v>
      </c>
      <c r="B33" s="916" t="s">
        <v>4921</v>
      </c>
      <c r="C33" s="916" t="s">
        <v>4257</v>
      </c>
      <c r="D33" s="915"/>
      <c r="E33" s="917">
        <v>7500000</v>
      </c>
      <c r="F33" s="918"/>
      <c r="G33" s="918"/>
    </row>
    <row r="34" spans="1:7">
      <c r="A34" s="915" t="s">
        <v>3852</v>
      </c>
      <c r="B34" s="916" t="s">
        <v>4922</v>
      </c>
      <c r="C34" s="916" t="s">
        <v>4923</v>
      </c>
      <c r="D34" s="915"/>
      <c r="E34" s="918"/>
      <c r="F34" s="917">
        <v>1990000</v>
      </c>
      <c r="G34" s="918"/>
    </row>
    <row r="35" spans="1:7">
      <c r="A35" s="915" t="s">
        <v>3852</v>
      </c>
      <c r="B35" s="916" t="s">
        <v>4924</v>
      </c>
      <c r="C35" s="916" t="s">
        <v>4925</v>
      </c>
      <c r="D35" s="915"/>
      <c r="E35" s="918"/>
      <c r="F35" s="917">
        <v>895589</v>
      </c>
      <c r="G35" s="918"/>
    </row>
    <row r="36" spans="1:7">
      <c r="A36" s="915" t="s">
        <v>3852</v>
      </c>
      <c r="B36" s="916" t="s">
        <v>4926</v>
      </c>
      <c r="C36" s="916" t="s">
        <v>4927</v>
      </c>
      <c r="D36" s="915"/>
      <c r="E36" s="918"/>
      <c r="F36" s="917">
        <v>2000000</v>
      </c>
      <c r="G36" s="918"/>
    </row>
    <row r="37" spans="1:7" ht="22.5">
      <c r="A37" s="915" t="s">
        <v>3852</v>
      </c>
      <c r="B37" s="916" t="s">
        <v>4928</v>
      </c>
      <c r="C37" s="916" t="s">
        <v>4929</v>
      </c>
      <c r="D37" s="915"/>
      <c r="E37" s="918"/>
      <c r="F37" s="917">
        <v>2500000</v>
      </c>
      <c r="G37" s="918"/>
    </row>
    <row r="38" spans="1:7">
      <c r="A38" s="915" t="s">
        <v>3852</v>
      </c>
      <c r="B38" s="916" t="s">
        <v>4930</v>
      </c>
      <c r="C38" s="916" t="s">
        <v>4931</v>
      </c>
      <c r="D38" s="915"/>
      <c r="E38" s="918"/>
      <c r="F38" s="917">
        <v>7500000</v>
      </c>
      <c r="G38" s="918"/>
    </row>
    <row r="39" spans="1:7">
      <c r="A39" s="915" t="s">
        <v>3852</v>
      </c>
      <c r="B39" s="916" t="s">
        <v>4932</v>
      </c>
      <c r="C39" s="916" t="s">
        <v>4931</v>
      </c>
      <c r="D39" s="915"/>
      <c r="E39" s="918"/>
      <c r="F39" s="917">
        <v>60500</v>
      </c>
      <c r="G39" s="918"/>
    </row>
    <row r="40" spans="1:7">
      <c r="A40" s="915" t="s">
        <v>3852</v>
      </c>
      <c r="B40" s="916" t="s">
        <v>4932</v>
      </c>
      <c r="C40" s="916" t="s">
        <v>4933</v>
      </c>
      <c r="D40" s="915"/>
      <c r="E40" s="917">
        <v>180200</v>
      </c>
      <c r="F40" s="918"/>
      <c r="G40" s="918"/>
    </row>
    <row r="41" spans="1:7">
      <c r="A41" s="915" t="s">
        <v>3852</v>
      </c>
      <c r="B41" s="916" t="s">
        <v>4932</v>
      </c>
      <c r="C41" s="916" t="s">
        <v>4931</v>
      </c>
      <c r="D41" s="915"/>
      <c r="E41" s="918"/>
      <c r="F41" s="917">
        <v>180200</v>
      </c>
      <c r="G41" s="918"/>
    </row>
    <row r="42" spans="1:7">
      <c r="A42" s="915" t="s">
        <v>3852</v>
      </c>
      <c r="B42" s="916" t="s">
        <v>4934</v>
      </c>
      <c r="C42" s="916" t="s">
        <v>4257</v>
      </c>
      <c r="D42" s="915"/>
      <c r="E42" s="917">
        <v>13000</v>
      </c>
      <c r="F42" s="918"/>
      <c r="G42" s="918"/>
    </row>
    <row r="43" spans="1:7">
      <c r="A43" s="915" t="s">
        <v>3852</v>
      </c>
      <c r="B43" s="916" t="s">
        <v>4934</v>
      </c>
      <c r="C43" s="916" t="s">
        <v>4935</v>
      </c>
      <c r="D43" s="915" t="s">
        <v>4897</v>
      </c>
      <c r="E43" s="918"/>
      <c r="F43" s="917">
        <v>13000</v>
      </c>
      <c r="G43" s="918"/>
    </row>
    <row r="44" spans="1:7">
      <c r="A44" s="915" t="s">
        <v>3852</v>
      </c>
      <c r="B44" s="916" t="s">
        <v>4936</v>
      </c>
      <c r="C44" s="916" t="s">
        <v>4582</v>
      </c>
      <c r="D44" s="915"/>
      <c r="E44" s="917">
        <v>10000</v>
      </c>
      <c r="F44" s="918"/>
      <c r="G44" s="918"/>
    </row>
    <row r="45" spans="1:7">
      <c r="A45" s="915" t="s">
        <v>3852</v>
      </c>
      <c r="B45" s="916" t="s">
        <v>4937</v>
      </c>
      <c r="C45" s="916" t="s">
        <v>4935</v>
      </c>
      <c r="D45" s="915" t="s">
        <v>4897</v>
      </c>
      <c r="E45" s="918"/>
      <c r="F45" s="917">
        <v>29200</v>
      </c>
      <c r="G45" s="918"/>
    </row>
    <row r="46" spans="1:7">
      <c r="A46" s="915" t="s">
        <v>3852</v>
      </c>
      <c r="B46" s="916" t="s">
        <v>4938</v>
      </c>
      <c r="C46" s="916" t="s">
        <v>4910</v>
      </c>
      <c r="D46" s="915"/>
      <c r="E46" s="917">
        <v>300000</v>
      </c>
      <c r="F46" s="918"/>
      <c r="G46" s="917">
        <v>1281737468</v>
      </c>
    </row>
    <row r="47" spans="1:7">
      <c r="A47" s="915" t="s">
        <v>4355</v>
      </c>
      <c r="B47" s="916" t="s">
        <v>4939</v>
      </c>
      <c r="C47" s="916" t="s">
        <v>4933</v>
      </c>
      <c r="D47" s="915"/>
      <c r="E47" s="917">
        <v>5500</v>
      </c>
      <c r="F47" s="918"/>
      <c r="G47" s="918"/>
    </row>
    <row r="48" spans="1:7">
      <c r="A48" s="915" t="s">
        <v>4355</v>
      </c>
      <c r="B48" s="916" t="s">
        <v>4939</v>
      </c>
      <c r="C48" s="916" t="s">
        <v>4940</v>
      </c>
      <c r="D48" s="915"/>
      <c r="E48" s="918"/>
      <c r="F48" s="917">
        <v>5500</v>
      </c>
      <c r="G48" s="918"/>
    </row>
    <row r="49" spans="1:7" ht="22.5">
      <c r="A49" s="915" t="s">
        <v>4355</v>
      </c>
      <c r="B49" s="916" t="s">
        <v>4941</v>
      </c>
      <c r="C49" s="916" t="s">
        <v>4257</v>
      </c>
      <c r="D49" s="915"/>
      <c r="E49" s="918"/>
      <c r="F49" s="917">
        <v>42890</v>
      </c>
      <c r="G49" s="918"/>
    </row>
    <row r="50" spans="1:7">
      <c r="A50" s="915" t="s">
        <v>4355</v>
      </c>
      <c r="B50" s="916" t="s">
        <v>4749</v>
      </c>
      <c r="C50" s="916" t="s">
        <v>4942</v>
      </c>
      <c r="D50" s="915"/>
      <c r="E50" s="918"/>
      <c r="F50" s="917">
        <v>110000</v>
      </c>
      <c r="G50" s="918"/>
    </row>
    <row r="51" spans="1:7" ht="22.5">
      <c r="A51" s="915" t="s">
        <v>4355</v>
      </c>
      <c r="B51" s="916" t="s">
        <v>4943</v>
      </c>
      <c r="C51" s="916" t="s">
        <v>4257</v>
      </c>
      <c r="D51" s="915"/>
      <c r="E51" s="918"/>
      <c r="F51" s="917">
        <v>715000</v>
      </c>
      <c r="G51" s="918"/>
    </row>
    <row r="52" spans="1:7">
      <c r="A52" s="915" t="s">
        <v>4355</v>
      </c>
      <c r="B52" s="916" t="s">
        <v>4944</v>
      </c>
      <c r="C52" s="916" t="s">
        <v>4945</v>
      </c>
      <c r="D52" s="915"/>
      <c r="E52" s="918"/>
      <c r="F52" s="917">
        <v>5362000</v>
      </c>
      <c r="G52" s="918"/>
    </row>
    <row r="53" spans="1:7">
      <c r="A53" s="995" t="s">
        <v>3589</v>
      </c>
      <c r="B53" s="995" t="s">
        <v>3590</v>
      </c>
      <c r="C53" s="995" t="s">
        <v>3592</v>
      </c>
      <c r="D53" s="995" t="s">
        <v>3593</v>
      </c>
      <c r="E53" s="995" t="s">
        <v>3594</v>
      </c>
      <c r="F53" s="995" t="s">
        <v>3030</v>
      </c>
      <c r="G53" s="995" t="s">
        <v>3595</v>
      </c>
    </row>
    <row r="54" spans="1:7">
      <c r="A54" s="915" t="s">
        <v>4355</v>
      </c>
      <c r="B54" s="916" t="s">
        <v>4946</v>
      </c>
      <c r="C54" s="916" t="s">
        <v>4945</v>
      </c>
      <c r="D54" s="915"/>
      <c r="E54" s="918"/>
      <c r="F54" s="917">
        <v>400000</v>
      </c>
      <c r="G54" s="918"/>
    </row>
    <row r="55" spans="1:7">
      <c r="A55" s="915" t="s">
        <v>4355</v>
      </c>
      <c r="B55" s="916" t="s">
        <v>4947</v>
      </c>
      <c r="C55" s="916" t="s">
        <v>4945</v>
      </c>
      <c r="D55" s="915"/>
      <c r="E55" s="918"/>
      <c r="F55" s="917">
        <v>2910000</v>
      </c>
      <c r="G55" s="918"/>
    </row>
    <row r="56" spans="1:7">
      <c r="A56" s="915" t="s">
        <v>4355</v>
      </c>
      <c r="B56" s="916" t="s">
        <v>4948</v>
      </c>
      <c r="C56" s="916" t="s">
        <v>4945</v>
      </c>
      <c r="D56" s="915"/>
      <c r="E56" s="918"/>
      <c r="F56" s="917">
        <v>1300160</v>
      </c>
      <c r="G56" s="918"/>
    </row>
    <row r="57" spans="1:7">
      <c r="A57" s="915" t="s">
        <v>4355</v>
      </c>
      <c r="B57" s="916" t="s">
        <v>4948</v>
      </c>
      <c r="C57" s="916" t="s">
        <v>4949</v>
      </c>
      <c r="D57" s="915"/>
      <c r="E57" s="917">
        <v>59840</v>
      </c>
      <c r="F57" s="918"/>
      <c r="G57" s="918"/>
    </row>
    <row r="58" spans="1:7">
      <c r="A58" s="915" t="s">
        <v>4355</v>
      </c>
      <c r="B58" s="916" t="s">
        <v>4948</v>
      </c>
      <c r="C58" s="916" t="s">
        <v>4945</v>
      </c>
      <c r="D58" s="915"/>
      <c r="E58" s="918"/>
      <c r="F58" s="917">
        <v>59840</v>
      </c>
      <c r="G58" s="918"/>
    </row>
    <row r="59" spans="1:7">
      <c r="A59" s="915" t="s">
        <v>4355</v>
      </c>
      <c r="B59" s="916" t="s">
        <v>4950</v>
      </c>
      <c r="C59" s="916" t="s">
        <v>4951</v>
      </c>
      <c r="D59" s="915"/>
      <c r="E59" s="917">
        <v>143300</v>
      </c>
      <c r="F59" s="918"/>
      <c r="G59" s="918"/>
    </row>
    <row r="60" spans="1:7">
      <c r="A60" s="915" t="s">
        <v>4355</v>
      </c>
      <c r="B60" s="916" t="s">
        <v>4952</v>
      </c>
      <c r="C60" s="916" t="s">
        <v>4951</v>
      </c>
      <c r="D60" s="915"/>
      <c r="E60" s="917">
        <v>143300</v>
      </c>
      <c r="F60" s="918"/>
      <c r="G60" s="918"/>
    </row>
    <row r="61" spans="1:7">
      <c r="A61" s="915" t="s">
        <v>4355</v>
      </c>
      <c r="B61" s="916" t="s">
        <v>4953</v>
      </c>
      <c r="C61" s="916" t="s">
        <v>4951</v>
      </c>
      <c r="D61" s="915"/>
      <c r="E61" s="917">
        <v>100000</v>
      </c>
      <c r="F61" s="918"/>
      <c r="G61" s="918"/>
    </row>
    <row r="62" spans="1:7">
      <c r="A62" s="915" t="s">
        <v>4355</v>
      </c>
      <c r="B62" s="916" t="s">
        <v>4954</v>
      </c>
      <c r="C62" s="916" t="s">
        <v>4951</v>
      </c>
      <c r="D62" s="915"/>
      <c r="E62" s="917">
        <v>143300</v>
      </c>
      <c r="F62" s="918"/>
      <c r="G62" s="918"/>
    </row>
    <row r="63" spans="1:7">
      <c r="A63" s="915" t="s">
        <v>4355</v>
      </c>
      <c r="B63" s="916" t="s">
        <v>4955</v>
      </c>
      <c r="C63" s="916" t="s">
        <v>4951</v>
      </c>
      <c r="D63" s="915"/>
      <c r="E63" s="917">
        <v>100000</v>
      </c>
      <c r="F63" s="918"/>
      <c r="G63" s="918"/>
    </row>
    <row r="64" spans="1:7">
      <c r="A64" s="915" t="s">
        <v>4355</v>
      </c>
      <c r="B64" s="916" t="s">
        <v>4956</v>
      </c>
      <c r="C64" s="916" t="s">
        <v>4957</v>
      </c>
      <c r="D64" s="915"/>
      <c r="E64" s="917">
        <v>387596</v>
      </c>
      <c r="F64" s="918"/>
      <c r="G64" s="918"/>
    </row>
    <row r="65" spans="1:7">
      <c r="A65" s="915" t="s">
        <v>4355</v>
      </c>
      <c r="B65" s="916" t="s">
        <v>4958</v>
      </c>
      <c r="C65" s="916" t="s">
        <v>4555</v>
      </c>
      <c r="D65" s="915"/>
      <c r="E65" s="917">
        <v>10000</v>
      </c>
      <c r="F65" s="918"/>
      <c r="G65" s="918"/>
    </row>
    <row r="66" spans="1:7">
      <c r="A66" s="915" t="s">
        <v>4355</v>
      </c>
      <c r="B66" s="916" t="s">
        <v>4959</v>
      </c>
      <c r="C66" s="916" t="s">
        <v>4960</v>
      </c>
      <c r="D66" s="915"/>
      <c r="E66" s="917">
        <v>3000000</v>
      </c>
      <c r="F66" s="918"/>
      <c r="G66" s="918"/>
    </row>
    <row r="67" spans="1:7">
      <c r="A67" s="915" t="s">
        <v>4355</v>
      </c>
      <c r="B67" s="916" t="s">
        <v>4529</v>
      </c>
      <c r="C67" s="916" t="s">
        <v>4401</v>
      </c>
      <c r="D67" s="915"/>
      <c r="E67" s="917">
        <v>9760</v>
      </c>
      <c r="F67" s="918"/>
      <c r="G67" s="918"/>
    </row>
    <row r="68" spans="1:7">
      <c r="A68" s="915" t="s">
        <v>4355</v>
      </c>
      <c r="B68" s="916" t="s">
        <v>4961</v>
      </c>
      <c r="C68" s="916" t="s">
        <v>4580</v>
      </c>
      <c r="D68" s="915"/>
      <c r="E68" s="917">
        <v>10000</v>
      </c>
      <c r="F68" s="918"/>
      <c r="G68" s="918"/>
    </row>
    <row r="69" spans="1:7">
      <c r="A69" s="915" t="s">
        <v>4355</v>
      </c>
      <c r="B69" s="916" t="s">
        <v>4962</v>
      </c>
      <c r="C69" s="916" t="s">
        <v>4910</v>
      </c>
      <c r="D69" s="915"/>
      <c r="E69" s="917">
        <v>1200000</v>
      </c>
      <c r="F69" s="918"/>
      <c r="G69" s="918"/>
    </row>
    <row r="70" spans="1:7">
      <c r="A70" s="915" t="s">
        <v>4355</v>
      </c>
      <c r="B70" s="916" t="s">
        <v>4963</v>
      </c>
      <c r="C70" s="916" t="s">
        <v>4257</v>
      </c>
      <c r="D70" s="915"/>
      <c r="E70" s="917">
        <v>82500</v>
      </c>
      <c r="F70" s="918"/>
      <c r="G70" s="917">
        <v>1276227174</v>
      </c>
    </row>
    <row r="71" spans="1:7">
      <c r="A71" s="915" t="s">
        <v>4586</v>
      </c>
      <c r="B71" s="916" t="s">
        <v>4964</v>
      </c>
      <c r="C71" s="916" t="s">
        <v>4903</v>
      </c>
      <c r="D71" s="915"/>
      <c r="E71" s="917">
        <v>26170</v>
      </c>
      <c r="F71" s="918"/>
      <c r="G71" s="918"/>
    </row>
    <row r="72" spans="1:7">
      <c r="A72" s="915" t="s">
        <v>4586</v>
      </c>
      <c r="B72" s="916" t="s">
        <v>4964</v>
      </c>
      <c r="C72" s="916" t="s">
        <v>4957</v>
      </c>
      <c r="D72" s="915"/>
      <c r="E72" s="918"/>
      <c r="F72" s="917">
        <v>26170</v>
      </c>
      <c r="G72" s="918"/>
    </row>
    <row r="73" spans="1:7">
      <c r="A73" s="915" t="s">
        <v>4586</v>
      </c>
      <c r="B73" s="916" t="s">
        <v>4965</v>
      </c>
      <c r="C73" s="916" t="s">
        <v>4966</v>
      </c>
      <c r="D73" s="915"/>
      <c r="E73" s="918"/>
      <c r="F73" s="917">
        <v>59400</v>
      </c>
      <c r="G73" s="918"/>
    </row>
    <row r="74" spans="1:7">
      <c r="A74" s="915" t="s">
        <v>4586</v>
      </c>
      <c r="B74" s="916" t="s">
        <v>4965</v>
      </c>
      <c r="C74" s="916" t="s">
        <v>4933</v>
      </c>
      <c r="D74" s="915"/>
      <c r="E74" s="917">
        <v>96900</v>
      </c>
      <c r="F74" s="918"/>
      <c r="G74" s="918"/>
    </row>
    <row r="75" spans="1:7">
      <c r="A75" s="915" t="s">
        <v>4586</v>
      </c>
      <c r="B75" s="916" t="s">
        <v>4965</v>
      </c>
      <c r="C75" s="916" t="s">
        <v>4966</v>
      </c>
      <c r="D75" s="915"/>
      <c r="E75" s="918"/>
      <c r="F75" s="917">
        <v>96900</v>
      </c>
      <c r="G75" s="918"/>
    </row>
    <row r="76" spans="1:7">
      <c r="A76" s="915" t="s">
        <v>4586</v>
      </c>
      <c r="B76" s="916" t="s">
        <v>4965</v>
      </c>
      <c r="C76" s="916" t="s">
        <v>4257</v>
      </c>
      <c r="D76" s="915"/>
      <c r="E76" s="917">
        <v>107000</v>
      </c>
      <c r="F76" s="918"/>
      <c r="G76" s="918"/>
    </row>
    <row r="77" spans="1:7">
      <c r="A77" s="915" t="s">
        <v>4586</v>
      </c>
      <c r="B77" s="916" t="s">
        <v>4965</v>
      </c>
      <c r="C77" s="916" t="s">
        <v>4966</v>
      </c>
      <c r="D77" s="915"/>
      <c r="E77" s="918"/>
      <c r="F77" s="917">
        <v>107000</v>
      </c>
      <c r="G77" s="918"/>
    </row>
    <row r="78" spans="1:7">
      <c r="A78" s="915" t="s">
        <v>4586</v>
      </c>
      <c r="B78" s="916" t="s">
        <v>4967</v>
      </c>
      <c r="C78" s="916" t="s">
        <v>4555</v>
      </c>
      <c r="D78" s="915"/>
      <c r="E78" s="917">
        <v>200000</v>
      </c>
      <c r="F78" s="918"/>
      <c r="G78" s="918"/>
    </row>
    <row r="79" spans="1:7">
      <c r="A79" s="915" t="s">
        <v>4586</v>
      </c>
      <c r="B79" s="916" t="s">
        <v>4395</v>
      </c>
      <c r="C79" s="916" t="s">
        <v>4366</v>
      </c>
      <c r="D79" s="915"/>
      <c r="E79" s="917">
        <v>13929820</v>
      </c>
      <c r="F79" s="918"/>
      <c r="G79" s="918"/>
    </row>
    <row r="80" spans="1:7">
      <c r="A80" s="915" t="s">
        <v>4586</v>
      </c>
      <c r="B80" s="916" t="s">
        <v>4587</v>
      </c>
      <c r="C80" s="916" t="s">
        <v>4401</v>
      </c>
      <c r="D80" s="915"/>
      <c r="E80" s="917">
        <v>49760</v>
      </c>
      <c r="F80" s="918"/>
      <c r="G80" s="918"/>
    </row>
    <row r="81" spans="1:7">
      <c r="A81" s="915" t="s">
        <v>4586</v>
      </c>
      <c r="B81" s="916" t="s">
        <v>4968</v>
      </c>
      <c r="C81" s="916" t="s">
        <v>4969</v>
      </c>
      <c r="D81" s="915"/>
      <c r="E81" s="917">
        <v>20000</v>
      </c>
      <c r="F81" s="918"/>
      <c r="G81" s="918"/>
    </row>
    <row r="82" spans="1:7">
      <c r="A82" s="915" t="s">
        <v>4586</v>
      </c>
      <c r="B82" s="916" t="s">
        <v>4970</v>
      </c>
      <c r="C82" s="916" t="s">
        <v>4561</v>
      </c>
      <c r="D82" s="915"/>
      <c r="E82" s="917">
        <v>100000</v>
      </c>
      <c r="F82" s="918"/>
      <c r="G82" s="918"/>
    </row>
    <row r="83" spans="1:7">
      <c r="A83" s="915" t="s">
        <v>4586</v>
      </c>
      <c r="B83" s="916" t="s">
        <v>4971</v>
      </c>
      <c r="C83" s="916" t="s">
        <v>4910</v>
      </c>
      <c r="D83" s="915"/>
      <c r="E83" s="917">
        <v>1500000</v>
      </c>
      <c r="F83" s="918"/>
      <c r="G83" s="918"/>
    </row>
    <row r="84" spans="1:7">
      <c r="A84" s="915" t="s">
        <v>4586</v>
      </c>
      <c r="B84" s="916" t="s">
        <v>4972</v>
      </c>
      <c r="C84" s="916" t="s">
        <v>4951</v>
      </c>
      <c r="D84" s="915"/>
      <c r="E84" s="917">
        <v>57300</v>
      </c>
      <c r="F84" s="918"/>
      <c r="G84" s="918"/>
    </row>
    <row r="85" spans="1:7">
      <c r="A85" s="915" t="s">
        <v>4586</v>
      </c>
      <c r="B85" s="916" t="s">
        <v>4973</v>
      </c>
      <c r="C85" s="916" t="s">
        <v>4257</v>
      </c>
      <c r="D85" s="915"/>
      <c r="E85" s="918"/>
      <c r="F85" s="917">
        <v>200000</v>
      </c>
      <c r="G85" s="917">
        <v>1291824654</v>
      </c>
    </row>
    <row r="86" spans="1:7">
      <c r="A86" s="915" t="s">
        <v>3854</v>
      </c>
      <c r="B86" s="916" t="s">
        <v>4968</v>
      </c>
      <c r="C86" s="916" t="s">
        <v>4969</v>
      </c>
      <c r="D86" s="915"/>
      <c r="E86" s="917">
        <v>10000</v>
      </c>
      <c r="F86" s="918"/>
      <c r="G86" s="918"/>
    </row>
    <row r="87" spans="1:7">
      <c r="A87" s="915" t="s">
        <v>3854</v>
      </c>
      <c r="B87" s="916" t="s">
        <v>4974</v>
      </c>
      <c r="C87" s="916" t="s">
        <v>4910</v>
      </c>
      <c r="D87" s="915"/>
      <c r="E87" s="917">
        <v>300000</v>
      </c>
      <c r="F87" s="918"/>
      <c r="G87" s="918"/>
    </row>
    <row r="88" spans="1:7">
      <c r="A88" s="915" t="s">
        <v>3854</v>
      </c>
      <c r="B88" s="916" t="s">
        <v>4975</v>
      </c>
      <c r="C88" s="916" t="s">
        <v>4898</v>
      </c>
      <c r="D88" s="915"/>
      <c r="E88" s="917">
        <v>4585600</v>
      </c>
      <c r="F88" s="918"/>
      <c r="G88" s="918"/>
    </row>
    <row r="89" spans="1:7">
      <c r="A89" s="915" t="s">
        <v>3854</v>
      </c>
      <c r="B89" s="916" t="s">
        <v>4976</v>
      </c>
      <c r="C89" s="916" t="s">
        <v>4898</v>
      </c>
      <c r="D89" s="915"/>
      <c r="E89" s="917">
        <v>86000</v>
      </c>
      <c r="F89" s="918"/>
      <c r="G89" s="918"/>
    </row>
    <row r="90" spans="1:7">
      <c r="A90" s="915" t="s">
        <v>3854</v>
      </c>
      <c r="B90" s="916" t="s">
        <v>4063</v>
      </c>
      <c r="C90" s="916" t="s">
        <v>4257</v>
      </c>
      <c r="D90" s="915"/>
      <c r="E90" s="917">
        <v>41460</v>
      </c>
      <c r="F90" s="918"/>
      <c r="G90" s="918"/>
    </row>
    <row r="91" spans="1:7">
      <c r="A91" s="915" t="s">
        <v>3854</v>
      </c>
      <c r="B91" s="916" t="s">
        <v>4977</v>
      </c>
      <c r="C91" s="916" t="s">
        <v>4561</v>
      </c>
      <c r="D91" s="915"/>
      <c r="E91" s="917">
        <v>200000</v>
      </c>
      <c r="F91" s="918"/>
      <c r="G91" s="918"/>
    </row>
    <row r="92" spans="1:7">
      <c r="A92" s="915" t="s">
        <v>3854</v>
      </c>
      <c r="B92" s="916" t="s">
        <v>4978</v>
      </c>
      <c r="C92" s="916" t="s">
        <v>4910</v>
      </c>
      <c r="D92" s="915"/>
      <c r="E92" s="917">
        <v>100000</v>
      </c>
      <c r="F92" s="918"/>
      <c r="G92" s="918"/>
    </row>
    <row r="93" spans="1:7">
      <c r="A93" s="915" t="s">
        <v>3854</v>
      </c>
      <c r="B93" s="916" t="s">
        <v>4979</v>
      </c>
      <c r="C93" s="916" t="s">
        <v>4910</v>
      </c>
      <c r="D93" s="915"/>
      <c r="E93" s="917">
        <v>1250000</v>
      </c>
      <c r="F93" s="918"/>
      <c r="G93" s="918"/>
    </row>
    <row r="94" spans="1:7">
      <c r="A94" s="915" t="s">
        <v>3854</v>
      </c>
      <c r="B94" s="916" t="s">
        <v>4980</v>
      </c>
      <c r="C94" s="916" t="s">
        <v>4940</v>
      </c>
      <c r="D94" s="915"/>
      <c r="E94" s="918"/>
      <c r="F94" s="917">
        <v>6761500</v>
      </c>
      <c r="G94" s="918"/>
    </row>
    <row r="95" spans="1:7" ht="22.5">
      <c r="A95" s="915" t="s">
        <v>3854</v>
      </c>
      <c r="B95" s="916" t="s">
        <v>4981</v>
      </c>
      <c r="C95" s="916" t="s">
        <v>4933</v>
      </c>
      <c r="D95" s="915"/>
      <c r="E95" s="917">
        <v>15000</v>
      </c>
      <c r="F95" s="918"/>
      <c r="G95" s="918"/>
    </row>
    <row r="96" spans="1:7" ht="22.5">
      <c r="A96" s="915" t="s">
        <v>3854</v>
      </c>
      <c r="B96" s="916" t="s">
        <v>4981</v>
      </c>
      <c r="C96" s="916" t="s">
        <v>4940</v>
      </c>
      <c r="D96" s="915"/>
      <c r="E96" s="918"/>
      <c r="F96" s="917">
        <v>15000</v>
      </c>
      <c r="G96" s="918"/>
    </row>
    <row r="97" spans="1:7">
      <c r="A97" s="995" t="s">
        <v>3589</v>
      </c>
      <c r="B97" s="995" t="s">
        <v>3590</v>
      </c>
      <c r="C97" s="995" t="s">
        <v>3592</v>
      </c>
      <c r="D97" s="995" t="s">
        <v>3593</v>
      </c>
      <c r="E97" s="995" t="s">
        <v>3594</v>
      </c>
      <c r="F97" s="995" t="s">
        <v>3030</v>
      </c>
      <c r="G97" s="995" t="s">
        <v>3595</v>
      </c>
    </row>
    <row r="98" spans="1:7">
      <c r="A98" s="915" t="s">
        <v>3854</v>
      </c>
      <c r="B98" s="916" t="s">
        <v>4982</v>
      </c>
      <c r="C98" s="916" t="s">
        <v>4983</v>
      </c>
      <c r="D98" s="915"/>
      <c r="E98" s="917">
        <v>224660</v>
      </c>
      <c r="F98" s="918"/>
      <c r="G98" s="918"/>
    </row>
    <row r="99" spans="1:7">
      <c r="A99" s="915" t="s">
        <v>3854</v>
      </c>
      <c r="B99" s="916" t="s">
        <v>4982</v>
      </c>
      <c r="C99" s="916" t="s">
        <v>4983</v>
      </c>
      <c r="D99" s="915"/>
      <c r="E99" s="917">
        <v>469</v>
      </c>
      <c r="F99" s="918"/>
      <c r="G99" s="918"/>
    </row>
    <row r="100" spans="1:7" ht="22.5">
      <c r="A100" s="915" t="s">
        <v>3854</v>
      </c>
      <c r="B100" s="916" t="s">
        <v>4984</v>
      </c>
      <c r="C100" s="916" t="s">
        <v>4960</v>
      </c>
      <c r="D100" s="915"/>
      <c r="E100" s="917">
        <v>1500000</v>
      </c>
      <c r="F100" s="918"/>
      <c r="G100" s="918"/>
    </row>
    <row r="101" spans="1:7">
      <c r="A101" s="915" t="s">
        <v>3854</v>
      </c>
      <c r="B101" s="916" t="s">
        <v>4985</v>
      </c>
      <c r="C101" s="916" t="s">
        <v>4910</v>
      </c>
      <c r="D101" s="915"/>
      <c r="E101" s="917">
        <v>200000</v>
      </c>
      <c r="F101" s="918"/>
      <c r="G101" s="917">
        <v>1293561343</v>
      </c>
    </row>
    <row r="102" spans="1:7">
      <c r="A102" s="915" t="s">
        <v>4588</v>
      </c>
      <c r="B102" s="916" t="s">
        <v>4986</v>
      </c>
      <c r="C102" s="916" t="s">
        <v>4910</v>
      </c>
      <c r="D102" s="915"/>
      <c r="E102" s="917">
        <v>150000</v>
      </c>
      <c r="F102" s="918"/>
      <c r="G102" s="918"/>
    </row>
    <row r="103" spans="1:7">
      <c r="A103" s="915" t="s">
        <v>4588</v>
      </c>
      <c r="B103" s="916" t="s">
        <v>4987</v>
      </c>
      <c r="C103" s="916" t="s">
        <v>4370</v>
      </c>
      <c r="D103" s="915"/>
      <c r="E103" s="917">
        <v>3461400</v>
      </c>
      <c r="F103" s="918"/>
      <c r="G103" s="918"/>
    </row>
    <row r="104" spans="1:7">
      <c r="A104" s="915" t="s">
        <v>4588</v>
      </c>
      <c r="B104" s="916" t="s">
        <v>4589</v>
      </c>
      <c r="C104" s="916" t="s">
        <v>4370</v>
      </c>
      <c r="D104" s="915"/>
      <c r="E104" s="917">
        <v>57712</v>
      </c>
      <c r="F104" s="918"/>
      <c r="G104" s="918"/>
    </row>
    <row r="105" spans="1:7">
      <c r="A105" s="915" t="s">
        <v>4588</v>
      </c>
      <c r="B105" s="916" t="s">
        <v>4988</v>
      </c>
      <c r="C105" s="916" t="s">
        <v>4910</v>
      </c>
      <c r="D105" s="915"/>
      <c r="E105" s="917">
        <v>200000</v>
      </c>
      <c r="F105" s="918"/>
      <c r="G105" s="918"/>
    </row>
    <row r="106" spans="1:7">
      <c r="A106" s="915" t="s">
        <v>4588</v>
      </c>
      <c r="B106" s="916" t="s">
        <v>4989</v>
      </c>
      <c r="C106" s="916" t="s">
        <v>4898</v>
      </c>
      <c r="D106" s="915"/>
      <c r="E106" s="917">
        <v>60000</v>
      </c>
      <c r="F106" s="918"/>
      <c r="G106" s="917">
        <v>1297490455</v>
      </c>
    </row>
    <row r="107" spans="1:7" ht="22.5">
      <c r="A107" s="915" t="s">
        <v>4000</v>
      </c>
      <c r="B107" s="916" t="s">
        <v>4990</v>
      </c>
      <c r="C107" s="916" t="s">
        <v>4940</v>
      </c>
      <c r="D107" s="915"/>
      <c r="E107" s="917">
        <v>10000000</v>
      </c>
      <c r="F107" s="918"/>
      <c r="G107" s="918"/>
    </row>
    <row r="108" spans="1:7" ht="22.5">
      <c r="A108" s="915" t="s">
        <v>4000</v>
      </c>
      <c r="B108" s="916" t="s">
        <v>4990</v>
      </c>
      <c r="C108" s="916" t="s">
        <v>4257</v>
      </c>
      <c r="D108" s="915"/>
      <c r="E108" s="918"/>
      <c r="F108" s="917">
        <v>10000000</v>
      </c>
      <c r="G108" s="918"/>
    </row>
    <row r="109" spans="1:7">
      <c r="A109" s="915" t="s">
        <v>4000</v>
      </c>
      <c r="B109" s="916" t="s">
        <v>4991</v>
      </c>
      <c r="C109" s="916" t="s">
        <v>4257</v>
      </c>
      <c r="D109" s="915"/>
      <c r="E109" s="917">
        <v>12000</v>
      </c>
      <c r="F109" s="918"/>
      <c r="G109" s="918"/>
    </row>
    <row r="110" spans="1:7">
      <c r="A110" s="915" t="s">
        <v>4000</v>
      </c>
      <c r="B110" s="916" t="s">
        <v>4991</v>
      </c>
      <c r="C110" s="916" t="s">
        <v>4992</v>
      </c>
      <c r="D110" s="915"/>
      <c r="E110" s="918"/>
      <c r="F110" s="917">
        <v>12000</v>
      </c>
      <c r="G110" s="918"/>
    </row>
    <row r="111" spans="1:7">
      <c r="A111" s="915" t="s">
        <v>4000</v>
      </c>
      <c r="B111" s="916" t="s">
        <v>4993</v>
      </c>
      <c r="C111" s="916" t="s">
        <v>4992</v>
      </c>
      <c r="D111" s="915"/>
      <c r="E111" s="918"/>
      <c r="F111" s="917">
        <v>810000</v>
      </c>
      <c r="G111" s="918"/>
    </row>
    <row r="112" spans="1:7">
      <c r="A112" s="915" t="s">
        <v>4000</v>
      </c>
      <c r="B112" s="916" t="s">
        <v>4750</v>
      </c>
      <c r="C112" s="916" t="s">
        <v>4257</v>
      </c>
      <c r="D112" s="915"/>
      <c r="E112" s="918"/>
      <c r="F112" s="917">
        <v>385000</v>
      </c>
      <c r="G112" s="918"/>
    </row>
    <row r="113" spans="1:7">
      <c r="A113" s="915" t="s">
        <v>4000</v>
      </c>
      <c r="B113" s="916" t="s">
        <v>4994</v>
      </c>
      <c r="C113" s="916" t="s">
        <v>4257</v>
      </c>
      <c r="D113" s="915"/>
      <c r="E113" s="918"/>
      <c r="F113" s="917">
        <v>2000</v>
      </c>
      <c r="G113" s="918"/>
    </row>
    <row r="114" spans="1:7">
      <c r="A114" s="915" t="s">
        <v>4000</v>
      </c>
      <c r="B114" s="916" t="s">
        <v>4995</v>
      </c>
      <c r="C114" s="916" t="s">
        <v>4257</v>
      </c>
      <c r="D114" s="915"/>
      <c r="E114" s="918"/>
      <c r="F114" s="917">
        <v>1860</v>
      </c>
      <c r="G114" s="918"/>
    </row>
    <row r="115" spans="1:7">
      <c r="A115" s="915" t="s">
        <v>4000</v>
      </c>
      <c r="B115" s="916" t="s">
        <v>4996</v>
      </c>
      <c r="C115" s="916" t="s">
        <v>4257</v>
      </c>
      <c r="D115" s="915"/>
      <c r="E115" s="918"/>
      <c r="F115" s="917">
        <v>36500</v>
      </c>
      <c r="G115" s="918"/>
    </row>
    <row r="116" spans="1:7">
      <c r="A116" s="915" t="s">
        <v>4000</v>
      </c>
      <c r="B116" s="916" t="s">
        <v>4996</v>
      </c>
      <c r="C116" s="916" t="s">
        <v>4257</v>
      </c>
      <c r="D116" s="915"/>
      <c r="E116" s="918"/>
      <c r="F116" s="917">
        <v>16263</v>
      </c>
      <c r="G116" s="918"/>
    </row>
    <row r="117" spans="1:7" ht="22.5">
      <c r="A117" s="915" t="s">
        <v>4000</v>
      </c>
      <c r="B117" s="916" t="s">
        <v>4997</v>
      </c>
      <c r="C117" s="916" t="s">
        <v>4951</v>
      </c>
      <c r="D117" s="915"/>
      <c r="E117" s="917">
        <v>13308100</v>
      </c>
      <c r="F117" s="918"/>
      <c r="G117" s="918"/>
    </row>
    <row r="118" spans="1:7" ht="22.5">
      <c r="A118" s="915" t="s">
        <v>4000</v>
      </c>
      <c r="B118" s="916" t="s">
        <v>4997</v>
      </c>
      <c r="C118" s="916" t="s">
        <v>4366</v>
      </c>
      <c r="D118" s="915"/>
      <c r="E118" s="918"/>
      <c r="F118" s="917">
        <v>13308100</v>
      </c>
      <c r="G118" s="918"/>
    </row>
    <row r="119" spans="1:7">
      <c r="A119" s="915" t="s">
        <v>4000</v>
      </c>
      <c r="B119" s="916" t="s">
        <v>4998</v>
      </c>
      <c r="C119" s="916" t="s">
        <v>4999</v>
      </c>
      <c r="D119" s="915" t="s">
        <v>4897</v>
      </c>
      <c r="E119" s="918"/>
      <c r="F119" s="917">
        <v>18280</v>
      </c>
      <c r="G119" s="918"/>
    </row>
    <row r="120" spans="1:7">
      <c r="A120" s="915" t="s">
        <v>4000</v>
      </c>
      <c r="B120" s="916" t="s">
        <v>4412</v>
      </c>
      <c r="C120" s="916" t="s">
        <v>4257</v>
      </c>
      <c r="D120" s="915"/>
      <c r="E120" s="917">
        <v>18280</v>
      </c>
      <c r="F120" s="918"/>
      <c r="G120" s="918"/>
    </row>
    <row r="121" spans="1:7" ht="22.5">
      <c r="A121" s="915" t="s">
        <v>4000</v>
      </c>
      <c r="B121" s="916" t="s">
        <v>5000</v>
      </c>
      <c r="C121" s="916" t="s">
        <v>4257</v>
      </c>
      <c r="D121" s="915"/>
      <c r="E121" s="918"/>
      <c r="F121" s="917">
        <v>1386930</v>
      </c>
      <c r="G121" s="918"/>
    </row>
    <row r="122" spans="1:7">
      <c r="A122" s="915" t="s">
        <v>4000</v>
      </c>
      <c r="B122" s="916" t="s">
        <v>5001</v>
      </c>
      <c r="C122" s="916" t="s">
        <v>4949</v>
      </c>
      <c r="D122" s="915"/>
      <c r="E122" s="918"/>
      <c r="F122" s="917">
        <v>15900</v>
      </c>
      <c r="G122" s="918"/>
    </row>
    <row r="123" spans="1:7" ht="22.5">
      <c r="A123" s="915" t="s">
        <v>4000</v>
      </c>
      <c r="B123" s="916" t="s">
        <v>5002</v>
      </c>
      <c r="C123" s="916" t="s">
        <v>4949</v>
      </c>
      <c r="D123" s="915"/>
      <c r="E123" s="917">
        <v>6252340</v>
      </c>
      <c r="F123" s="918"/>
      <c r="G123" s="918"/>
    </row>
    <row r="124" spans="1:7" ht="22.5">
      <c r="A124" s="915" t="s">
        <v>4000</v>
      </c>
      <c r="B124" s="916" t="s">
        <v>5002</v>
      </c>
      <c r="C124" s="916" t="s">
        <v>4257</v>
      </c>
      <c r="D124" s="915"/>
      <c r="E124" s="918"/>
      <c r="F124" s="917">
        <v>6252340</v>
      </c>
      <c r="G124" s="918"/>
    </row>
    <row r="125" spans="1:7">
      <c r="A125" s="915" t="s">
        <v>4000</v>
      </c>
      <c r="B125" s="916" t="s">
        <v>5003</v>
      </c>
      <c r="C125" s="916" t="s">
        <v>4257</v>
      </c>
      <c r="D125" s="915"/>
      <c r="E125" s="917">
        <v>1991250</v>
      </c>
      <c r="F125" s="918"/>
      <c r="G125" s="918"/>
    </row>
    <row r="126" spans="1:7">
      <c r="A126" s="915" t="s">
        <v>4000</v>
      </c>
      <c r="B126" s="916" t="s">
        <v>5004</v>
      </c>
      <c r="C126" s="916" t="s">
        <v>4257</v>
      </c>
      <c r="D126" s="915"/>
      <c r="E126" s="917">
        <v>3553750</v>
      </c>
      <c r="F126" s="918"/>
      <c r="G126" s="918"/>
    </row>
    <row r="127" spans="1:7">
      <c r="A127" s="915" t="s">
        <v>4000</v>
      </c>
      <c r="B127" s="916" t="s">
        <v>4973</v>
      </c>
      <c r="C127" s="916" t="s">
        <v>4257</v>
      </c>
      <c r="D127" s="915"/>
      <c r="E127" s="918"/>
      <c r="F127" s="917">
        <v>300000</v>
      </c>
      <c r="G127" s="918"/>
    </row>
    <row r="128" spans="1:7">
      <c r="A128" s="915" t="s">
        <v>4000</v>
      </c>
      <c r="B128" s="916" t="s">
        <v>5005</v>
      </c>
      <c r="C128" s="916" t="s">
        <v>4908</v>
      </c>
      <c r="D128" s="915" t="s">
        <v>4897</v>
      </c>
      <c r="E128" s="918"/>
      <c r="F128" s="917">
        <v>1991250</v>
      </c>
      <c r="G128" s="918"/>
    </row>
    <row r="129" spans="1:7">
      <c r="A129" s="915" t="s">
        <v>4000</v>
      </c>
      <c r="B129" s="916" t="s">
        <v>5005</v>
      </c>
      <c r="C129" s="916" t="s">
        <v>4935</v>
      </c>
      <c r="D129" s="915" t="s">
        <v>4897</v>
      </c>
      <c r="E129" s="918"/>
      <c r="F129" s="917">
        <v>3553750</v>
      </c>
      <c r="G129" s="918"/>
    </row>
    <row r="130" spans="1:7">
      <c r="A130" s="915" t="s">
        <v>4000</v>
      </c>
      <c r="B130" s="916" t="s">
        <v>5006</v>
      </c>
      <c r="C130" s="916" t="s">
        <v>4257</v>
      </c>
      <c r="D130" s="915"/>
      <c r="E130" s="917">
        <v>9000</v>
      </c>
      <c r="F130" s="918"/>
      <c r="G130" s="918"/>
    </row>
    <row r="131" spans="1:7">
      <c r="A131" s="915" t="s">
        <v>4000</v>
      </c>
      <c r="B131" s="916" t="s">
        <v>5006</v>
      </c>
      <c r="C131" s="916" t="s">
        <v>4935</v>
      </c>
      <c r="D131" s="915" t="s">
        <v>4897</v>
      </c>
      <c r="E131" s="918"/>
      <c r="F131" s="917">
        <v>9000</v>
      </c>
      <c r="G131" s="918"/>
    </row>
    <row r="132" spans="1:7" ht="22.5">
      <c r="A132" s="915" t="s">
        <v>4000</v>
      </c>
      <c r="B132" s="916" t="s">
        <v>5007</v>
      </c>
      <c r="C132" s="916" t="s">
        <v>4931</v>
      </c>
      <c r="D132" s="915"/>
      <c r="E132" s="918"/>
      <c r="F132" s="917">
        <v>387180</v>
      </c>
      <c r="G132" s="918"/>
    </row>
    <row r="133" spans="1:7" ht="22.5">
      <c r="A133" s="915" t="s">
        <v>4000</v>
      </c>
      <c r="B133" s="916" t="s">
        <v>5007</v>
      </c>
      <c r="C133" s="916" t="s">
        <v>4949</v>
      </c>
      <c r="D133" s="915"/>
      <c r="E133" s="917">
        <v>17820</v>
      </c>
      <c r="F133" s="918"/>
      <c r="G133" s="918"/>
    </row>
    <row r="134" spans="1:7" ht="22.5">
      <c r="A134" s="915" t="s">
        <v>4000</v>
      </c>
      <c r="B134" s="916" t="s">
        <v>5007</v>
      </c>
      <c r="C134" s="916" t="s">
        <v>4931</v>
      </c>
      <c r="D134" s="915"/>
      <c r="E134" s="918"/>
      <c r="F134" s="917">
        <v>17820</v>
      </c>
      <c r="G134" s="918"/>
    </row>
    <row r="135" spans="1:7">
      <c r="A135" s="915" t="s">
        <v>4000</v>
      </c>
      <c r="B135" s="916" t="s">
        <v>5008</v>
      </c>
      <c r="C135" s="916" t="s">
        <v>4910</v>
      </c>
      <c r="D135" s="915"/>
      <c r="E135" s="917">
        <v>300000</v>
      </c>
      <c r="F135" s="918"/>
      <c r="G135" s="918"/>
    </row>
    <row r="136" spans="1:7">
      <c r="A136" s="915" t="s">
        <v>4000</v>
      </c>
      <c r="B136" s="916" t="s">
        <v>5009</v>
      </c>
      <c r="C136" s="916" t="s">
        <v>4935</v>
      </c>
      <c r="D136" s="915" t="s">
        <v>4897</v>
      </c>
      <c r="E136" s="918"/>
      <c r="F136" s="917">
        <v>1000000</v>
      </c>
      <c r="G136" s="918"/>
    </row>
    <row r="137" spans="1:7">
      <c r="A137" s="915" t="s">
        <v>4000</v>
      </c>
      <c r="B137" s="916" t="s">
        <v>5009</v>
      </c>
      <c r="C137" s="916" t="s">
        <v>4908</v>
      </c>
      <c r="D137" s="915" t="s">
        <v>4897</v>
      </c>
      <c r="E137" s="918"/>
      <c r="F137" s="917">
        <v>1000000</v>
      </c>
      <c r="G137" s="918"/>
    </row>
    <row r="138" spans="1:7">
      <c r="A138" s="915" t="s">
        <v>4000</v>
      </c>
      <c r="B138" s="916" t="s">
        <v>5010</v>
      </c>
      <c r="C138" s="916" t="s">
        <v>4935</v>
      </c>
      <c r="D138" s="915" t="s">
        <v>4897</v>
      </c>
      <c r="E138" s="918"/>
      <c r="F138" s="917">
        <v>1000000</v>
      </c>
      <c r="G138" s="918"/>
    </row>
    <row r="139" spans="1:7" ht="22.5">
      <c r="A139" s="915" t="s">
        <v>4000</v>
      </c>
      <c r="B139" s="916" t="s">
        <v>5011</v>
      </c>
      <c r="C139" s="916" t="s">
        <v>4898</v>
      </c>
      <c r="D139" s="915"/>
      <c r="E139" s="917">
        <v>143300</v>
      </c>
      <c r="F139" s="918"/>
      <c r="G139" s="918"/>
    </row>
    <row r="140" spans="1:7">
      <c r="A140" s="915" t="s">
        <v>4000</v>
      </c>
      <c r="B140" s="916" t="s">
        <v>5012</v>
      </c>
      <c r="C140" s="916" t="s">
        <v>4935</v>
      </c>
      <c r="D140" s="915" t="s">
        <v>4897</v>
      </c>
      <c r="E140" s="918"/>
      <c r="F140" s="917">
        <v>48000</v>
      </c>
      <c r="G140" s="918"/>
    </row>
    <row r="141" spans="1:7">
      <c r="A141" s="995" t="s">
        <v>3589</v>
      </c>
      <c r="B141" s="995" t="s">
        <v>3590</v>
      </c>
      <c r="C141" s="995" t="s">
        <v>3592</v>
      </c>
      <c r="D141" s="995" t="s">
        <v>3593</v>
      </c>
      <c r="E141" s="995" t="s">
        <v>3594</v>
      </c>
      <c r="F141" s="995" t="s">
        <v>3030</v>
      </c>
      <c r="G141" s="995" t="s">
        <v>3595</v>
      </c>
    </row>
    <row r="142" spans="1:7">
      <c r="A142" s="915" t="s">
        <v>4000</v>
      </c>
      <c r="B142" s="916" t="s">
        <v>5013</v>
      </c>
      <c r="C142" s="916" t="s">
        <v>4935</v>
      </c>
      <c r="D142" s="915" t="s">
        <v>4897</v>
      </c>
      <c r="E142" s="918"/>
      <c r="F142" s="917">
        <v>4300</v>
      </c>
      <c r="G142" s="917">
        <v>1291539822</v>
      </c>
    </row>
    <row r="143" spans="1:7">
      <c r="A143" s="915" t="s">
        <v>5014</v>
      </c>
      <c r="B143" s="916" t="s">
        <v>5015</v>
      </c>
      <c r="C143" s="916" t="s">
        <v>4951</v>
      </c>
      <c r="D143" s="915"/>
      <c r="E143" s="917">
        <v>143300</v>
      </c>
      <c r="F143" s="918"/>
      <c r="G143" s="918"/>
    </row>
    <row r="144" spans="1:7">
      <c r="A144" s="915" t="s">
        <v>5014</v>
      </c>
      <c r="B144" s="916" t="s">
        <v>5016</v>
      </c>
      <c r="C144" s="916" t="s">
        <v>5017</v>
      </c>
      <c r="D144" s="915"/>
      <c r="E144" s="917">
        <v>100000</v>
      </c>
      <c r="F144" s="918"/>
      <c r="G144" s="918"/>
    </row>
    <row r="145" spans="1:7">
      <c r="A145" s="915" t="s">
        <v>5014</v>
      </c>
      <c r="B145" s="916" t="s">
        <v>5018</v>
      </c>
      <c r="C145" s="916" t="s">
        <v>4370</v>
      </c>
      <c r="D145" s="915"/>
      <c r="E145" s="917">
        <v>3101</v>
      </c>
      <c r="F145" s="918"/>
      <c r="G145" s="918"/>
    </row>
    <row r="146" spans="1:7">
      <c r="A146" s="915" t="s">
        <v>5014</v>
      </c>
      <c r="B146" s="916" t="s">
        <v>5018</v>
      </c>
      <c r="C146" s="916" t="s">
        <v>4582</v>
      </c>
      <c r="D146" s="915"/>
      <c r="E146" s="917">
        <v>7</v>
      </c>
      <c r="F146" s="918"/>
      <c r="G146" s="918"/>
    </row>
    <row r="147" spans="1:7">
      <c r="A147" s="915" t="s">
        <v>5014</v>
      </c>
      <c r="B147" s="916" t="s">
        <v>5018</v>
      </c>
      <c r="C147" s="916" t="s">
        <v>4580</v>
      </c>
      <c r="D147" s="915"/>
      <c r="E147" s="917">
        <v>28</v>
      </c>
      <c r="F147" s="918"/>
      <c r="G147" s="918"/>
    </row>
    <row r="148" spans="1:7">
      <c r="A148" s="915" t="s">
        <v>5014</v>
      </c>
      <c r="B148" s="916" t="s">
        <v>5018</v>
      </c>
      <c r="C148" s="916" t="s">
        <v>4563</v>
      </c>
      <c r="D148" s="915"/>
      <c r="E148" s="917">
        <v>200</v>
      </c>
      <c r="F148" s="918"/>
      <c r="G148" s="917">
        <v>1291786458</v>
      </c>
    </row>
    <row r="149" spans="1:7">
      <c r="A149" s="915" t="s">
        <v>5019</v>
      </c>
      <c r="B149" s="916" t="s">
        <v>5020</v>
      </c>
      <c r="C149" s="916" t="s">
        <v>4555</v>
      </c>
      <c r="D149" s="915"/>
      <c r="E149" s="917">
        <v>10000</v>
      </c>
      <c r="F149" s="918"/>
      <c r="G149" s="917">
        <v>1291796458</v>
      </c>
    </row>
    <row r="150" spans="1:7" ht="22.5">
      <c r="A150" s="915" t="s">
        <v>3856</v>
      </c>
      <c r="B150" s="916" t="s">
        <v>5021</v>
      </c>
      <c r="C150" s="916" t="s">
        <v>4992</v>
      </c>
      <c r="D150" s="915"/>
      <c r="E150" s="918"/>
      <c r="F150" s="917">
        <v>301140</v>
      </c>
      <c r="G150" s="918"/>
    </row>
    <row r="151" spans="1:7" ht="22.5">
      <c r="A151" s="915" t="s">
        <v>3856</v>
      </c>
      <c r="B151" s="916" t="s">
        <v>5021</v>
      </c>
      <c r="C151" s="916" t="s">
        <v>4949</v>
      </c>
      <c r="D151" s="915"/>
      <c r="E151" s="917">
        <v>13860</v>
      </c>
      <c r="F151" s="918"/>
      <c r="G151" s="918"/>
    </row>
    <row r="152" spans="1:7" ht="22.5">
      <c r="A152" s="915" t="s">
        <v>3856</v>
      </c>
      <c r="B152" s="916" t="s">
        <v>5021</v>
      </c>
      <c r="C152" s="916" t="s">
        <v>4992</v>
      </c>
      <c r="D152" s="915"/>
      <c r="E152" s="918"/>
      <c r="F152" s="917">
        <v>13860</v>
      </c>
      <c r="G152" s="918"/>
    </row>
    <row r="153" spans="1:7">
      <c r="A153" s="915" t="s">
        <v>3856</v>
      </c>
      <c r="B153" s="916" t="s">
        <v>4733</v>
      </c>
      <c r="C153" s="916" t="s">
        <v>4257</v>
      </c>
      <c r="D153" s="915"/>
      <c r="E153" s="918"/>
      <c r="F153" s="917">
        <v>150000</v>
      </c>
      <c r="G153" s="918"/>
    </row>
    <row r="154" spans="1:7">
      <c r="A154" s="915" t="s">
        <v>3856</v>
      </c>
      <c r="B154" s="916" t="s">
        <v>5022</v>
      </c>
      <c r="C154" s="916" t="s">
        <v>4257</v>
      </c>
      <c r="D154" s="915"/>
      <c r="E154" s="918"/>
      <c r="F154" s="917">
        <v>5230500</v>
      </c>
      <c r="G154" s="918"/>
    </row>
    <row r="155" spans="1:7">
      <c r="A155" s="915" t="s">
        <v>3856</v>
      </c>
      <c r="B155" s="916" t="s">
        <v>5022</v>
      </c>
      <c r="C155" s="916" t="s">
        <v>4257</v>
      </c>
      <c r="D155" s="915"/>
      <c r="E155" s="918"/>
      <c r="F155" s="917">
        <v>110400</v>
      </c>
      <c r="G155" s="918"/>
    </row>
    <row r="156" spans="1:7" ht="22.5">
      <c r="A156" s="915" t="s">
        <v>3856</v>
      </c>
      <c r="B156" s="916" t="s">
        <v>5023</v>
      </c>
      <c r="C156" s="916" t="s">
        <v>4966</v>
      </c>
      <c r="D156" s="915"/>
      <c r="E156" s="918"/>
      <c r="F156" s="917">
        <v>1500000</v>
      </c>
      <c r="G156" s="918"/>
    </row>
    <row r="157" spans="1:7" ht="22.5">
      <c r="A157" s="915" t="s">
        <v>3856</v>
      </c>
      <c r="B157" s="916" t="s">
        <v>5023</v>
      </c>
      <c r="C157" s="916" t="s">
        <v>4966</v>
      </c>
      <c r="D157" s="915"/>
      <c r="E157" s="918"/>
      <c r="F157" s="917">
        <v>1800000</v>
      </c>
      <c r="G157" s="918"/>
    </row>
    <row r="158" spans="1:7">
      <c r="A158" s="915" t="s">
        <v>3856</v>
      </c>
      <c r="B158" s="916" t="s">
        <v>5024</v>
      </c>
      <c r="C158" s="916" t="s">
        <v>4951</v>
      </c>
      <c r="D158" s="915"/>
      <c r="E158" s="917">
        <v>143300</v>
      </c>
      <c r="F158" s="918"/>
      <c r="G158" s="918"/>
    </row>
    <row r="159" spans="1:7">
      <c r="A159" s="915" t="s">
        <v>3856</v>
      </c>
      <c r="B159" s="916" t="s">
        <v>5025</v>
      </c>
      <c r="C159" s="916" t="s">
        <v>4898</v>
      </c>
      <c r="D159" s="915"/>
      <c r="E159" s="917">
        <v>200000</v>
      </c>
      <c r="F159" s="918"/>
      <c r="G159" s="918"/>
    </row>
    <row r="160" spans="1:7">
      <c r="A160" s="915" t="s">
        <v>3856</v>
      </c>
      <c r="B160" s="916" t="s">
        <v>5026</v>
      </c>
      <c r="C160" s="916" t="s">
        <v>4896</v>
      </c>
      <c r="D160" s="915" t="s">
        <v>4897</v>
      </c>
      <c r="E160" s="917">
        <v>170722</v>
      </c>
      <c r="F160" s="918"/>
      <c r="G160" s="918"/>
    </row>
    <row r="161" spans="1:7">
      <c r="A161" s="915" t="s">
        <v>3856</v>
      </c>
      <c r="B161" s="916" t="s">
        <v>5027</v>
      </c>
      <c r="C161" s="916" t="s">
        <v>4966</v>
      </c>
      <c r="D161" s="915"/>
      <c r="E161" s="917">
        <v>23469</v>
      </c>
      <c r="F161" s="918"/>
      <c r="G161" s="918"/>
    </row>
    <row r="162" spans="1:7">
      <c r="A162" s="915" t="s">
        <v>3856</v>
      </c>
      <c r="B162" s="916" t="s">
        <v>5028</v>
      </c>
      <c r="C162" s="916" t="s">
        <v>5029</v>
      </c>
      <c r="D162" s="915"/>
      <c r="E162" s="917">
        <v>603789</v>
      </c>
      <c r="F162" s="918"/>
      <c r="G162" s="918"/>
    </row>
    <row r="163" spans="1:7">
      <c r="A163" s="915" t="s">
        <v>3856</v>
      </c>
      <c r="B163" s="916" t="s">
        <v>5030</v>
      </c>
      <c r="C163" s="916" t="s">
        <v>4945</v>
      </c>
      <c r="D163" s="915"/>
      <c r="E163" s="917">
        <v>43023</v>
      </c>
      <c r="F163" s="918"/>
      <c r="G163" s="918"/>
    </row>
    <row r="164" spans="1:7">
      <c r="A164" s="915" t="s">
        <v>3856</v>
      </c>
      <c r="B164" s="916" t="s">
        <v>5031</v>
      </c>
      <c r="C164" s="916" t="s">
        <v>4257</v>
      </c>
      <c r="D164" s="915"/>
      <c r="E164" s="917">
        <v>170722</v>
      </c>
      <c r="F164" s="918"/>
      <c r="G164" s="918"/>
    </row>
    <row r="165" spans="1:7">
      <c r="A165" s="915" t="s">
        <v>3856</v>
      </c>
      <c r="B165" s="916" t="s">
        <v>5031</v>
      </c>
      <c r="C165" s="916" t="s">
        <v>4896</v>
      </c>
      <c r="D165" s="915" t="s">
        <v>4897</v>
      </c>
      <c r="E165" s="918"/>
      <c r="F165" s="917">
        <v>170722</v>
      </c>
      <c r="G165" s="918"/>
    </row>
    <row r="166" spans="1:7">
      <c r="A166" s="915" t="s">
        <v>3856</v>
      </c>
      <c r="B166" s="916" t="s">
        <v>5032</v>
      </c>
      <c r="C166" s="916" t="s">
        <v>4257</v>
      </c>
      <c r="D166" s="915"/>
      <c r="E166" s="917">
        <v>603789</v>
      </c>
      <c r="F166" s="918"/>
      <c r="G166" s="918"/>
    </row>
    <row r="167" spans="1:7">
      <c r="A167" s="915" t="s">
        <v>3856</v>
      </c>
      <c r="B167" s="916" t="s">
        <v>5032</v>
      </c>
      <c r="C167" s="916" t="s">
        <v>5029</v>
      </c>
      <c r="D167" s="915"/>
      <c r="E167" s="918"/>
      <c r="F167" s="917">
        <v>603789</v>
      </c>
      <c r="G167" s="918"/>
    </row>
    <row r="168" spans="1:7">
      <c r="A168" s="915" t="s">
        <v>3856</v>
      </c>
      <c r="B168" s="916" t="s">
        <v>5018</v>
      </c>
      <c r="C168" s="916" t="s">
        <v>5033</v>
      </c>
      <c r="D168" s="915" t="s">
        <v>4897</v>
      </c>
      <c r="E168" s="917">
        <v>255144</v>
      </c>
      <c r="F168" s="918"/>
      <c r="G168" s="918"/>
    </row>
    <row r="169" spans="1:7">
      <c r="A169" s="915" t="s">
        <v>3856</v>
      </c>
      <c r="B169" s="916" t="s">
        <v>5034</v>
      </c>
      <c r="C169" s="916" t="s">
        <v>4486</v>
      </c>
      <c r="D169" s="915"/>
      <c r="E169" s="917">
        <v>10000</v>
      </c>
      <c r="F169" s="918"/>
      <c r="G169" s="918"/>
    </row>
    <row r="170" spans="1:7" ht="22.5">
      <c r="A170" s="915" t="s">
        <v>3856</v>
      </c>
      <c r="B170" s="916" t="s">
        <v>5035</v>
      </c>
      <c r="C170" s="916" t="s">
        <v>4983</v>
      </c>
      <c r="D170" s="915"/>
      <c r="E170" s="917">
        <v>2014</v>
      </c>
      <c r="F170" s="918"/>
      <c r="G170" s="918"/>
    </row>
    <row r="171" spans="1:7">
      <c r="A171" s="915" t="s">
        <v>3856</v>
      </c>
      <c r="B171" s="916" t="s">
        <v>5036</v>
      </c>
      <c r="C171" s="916" t="s">
        <v>5037</v>
      </c>
      <c r="D171" s="915"/>
      <c r="E171" s="917">
        <v>1068416</v>
      </c>
      <c r="F171" s="918"/>
      <c r="G171" s="918"/>
    </row>
    <row r="172" spans="1:7">
      <c r="A172" s="915" t="s">
        <v>3856</v>
      </c>
      <c r="B172" s="916" t="s">
        <v>5038</v>
      </c>
      <c r="C172" s="916" t="s">
        <v>4580</v>
      </c>
      <c r="D172" s="915"/>
      <c r="E172" s="917">
        <v>20000</v>
      </c>
      <c r="F172" s="918"/>
      <c r="G172" s="918"/>
    </row>
    <row r="173" spans="1:7">
      <c r="A173" s="915" t="s">
        <v>3856</v>
      </c>
      <c r="B173" s="916" t="s">
        <v>5018</v>
      </c>
      <c r="C173" s="916" t="s">
        <v>4935</v>
      </c>
      <c r="D173" s="915" t="s">
        <v>4897</v>
      </c>
      <c r="E173" s="917">
        <v>172672</v>
      </c>
      <c r="F173" s="918"/>
      <c r="G173" s="918"/>
    </row>
    <row r="174" spans="1:7">
      <c r="A174" s="915" t="s">
        <v>3856</v>
      </c>
      <c r="B174" s="916" t="s">
        <v>5018</v>
      </c>
      <c r="C174" s="916" t="s">
        <v>4908</v>
      </c>
      <c r="D174" s="915" t="s">
        <v>4897</v>
      </c>
      <c r="E174" s="917">
        <v>78571</v>
      </c>
      <c r="F174" s="918"/>
      <c r="G174" s="918"/>
    </row>
    <row r="175" spans="1:7">
      <c r="A175" s="915" t="s">
        <v>3856</v>
      </c>
      <c r="B175" s="916" t="s">
        <v>5018</v>
      </c>
      <c r="C175" s="916" t="s">
        <v>4917</v>
      </c>
      <c r="D175" s="915" t="s">
        <v>4918</v>
      </c>
      <c r="E175" s="917">
        <v>263</v>
      </c>
      <c r="F175" s="918"/>
      <c r="G175" s="918"/>
    </row>
    <row r="176" spans="1:7">
      <c r="A176" s="915" t="s">
        <v>3856</v>
      </c>
      <c r="B176" s="916" t="s">
        <v>5039</v>
      </c>
      <c r="C176" s="916" t="s">
        <v>4910</v>
      </c>
      <c r="D176" s="915"/>
      <c r="E176" s="917">
        <v>200000</v>
      </c>
      <c r="F176" s="918"/>
      <c r="G176" s="918"/>
    </row>
    <row r="177" spans="1:7">
      <c r="A177" s="915" t="s">
        <v>3856</v>
      </c>
      <c r="B177" s="916" t="s">
        <v>5018</v>
      </c>
      <c r="C177" s="916" t="s">
        <v>4940</v>
      </c>
      <c r="D177" s="915"/>
      <c r="E177" s="917">
        <v>313761</v>
      </c>
      <c r="F177" s="918"/>
      <c r="G177" s="918"/>
    </row>
    <row r="178" spans="1:7">
      <c r="A178" s="915" t="s">
        <v>3856</v>
      </c>
      <c r="B178" s="916" t="s">
        <v>5018</v>
      </c>
      <c r="C178" s="916" t="s">
        <v>4501</v>
      </c>
      <c r="D178" s="915"/>
      <c r="E178" s="917">
        <v>33834</v>
      </c>
      <c r="F178" s="918"/>
      <c r="G178" s="918"/>
    </row>
    <row r="179" spans="1:7" ht="22.5">
      <c r="A179" s="915" t="s">
        <v>3856</v>
      </c>
      <c r="B179" s="916" t="s">
        <v>5040</v>
      </c>
      <c r="C179" s="916" t="s">
        <v>4949</v>
      </c>
      <c r="D179" s="915"/>
      <c r="E179" s="918"/>
      <c r="F179" s="917">
        <v>6708820</v>
      </c>
      <c r="G179" s="918"/>
    </row>
    <row r="180" spans="1:7">
      <c r="A180" s="915" t="s">
        <v>3856</v>
      </c>
      <c r="B180" s="916" t="s">
        <v>5041</v>
      </c>
      <c r="C180" s="916" t="s">
        <v>4949</v>
      </c>
      <c r="D180" s="915"/>
      <c r="E180" s="917">
        <v>700</v>
      </c>
      <c r="F180" s="918"/>
      <c r="G180" s="918"/>
    </row>
    <row r="181" spans="1:7">
      <c r="A181" s="915" t="s">
        <v>3856</v>
      </c>
      <c r="B181" s="916" t="s">
        <v>4590</v>
      </c>
      <c r="C181" s="916" t="s">
        <v>4257</v>
      </c>
      <c r="D181" s="915"/>
      <c r="E181" s="918"/>
      <c r="F181" s="917">
        <v>35000</v>
      </c>
      <c r="G181" s="918"/>
    </row>
    <row r="182" spans="1:7">
      <c r="A182" s="915" t="s">
        <v>3856</v>
      </c>
      <c r="B182" s="916" t="s">
        <v>5042</v>
      </c>
      <c r="C182" s="916" t="s">
        <v>4951</v>
      </c>
      <c r="D182" s="915"/>
      <c r="E182" s="917">
        <v>143300</v>
      </c>
      <c r="F182" s="918"/>
      <c r="G182" s="918"/>
    </row>
    <row r="183" spans="1:7">
      <c r="A183" s="915" t="s">
        <v>3856</v>
      </c>
      <c r="B183" s="916" t="s">
        <v>5043</v>
      </c>
      <c r="C183" s="916" t="s">
        <v>4898</v>
      </c>
      <c r="D183" s="915"/>
      <c r="E183" s="917">
        <v>50000</v>
      </c>
      <c r="F183" s="918"/>
      <c r="G183" s="918"/>
    </row>
    <row r="184" spans="1:7">
      <c r="A184" s="915" t="s">
        <v>3856</v>
      </c>
      <c r="B184" s="916" t="s">
        <v>5044</v>
      </c>
      <c r="C184" s="916" t="s">
        <v>4903</v>
      </c>
      <c r="D184" s="915"/>
      <c r="E184" s="918"/>
      <c r="F184" s="917">
        <v>22000</v>
      </c>
      <c r="G184" s="918"/>
    </row>
    <row r="185" spans="1:7">
      <c r="A185" s="995" t="s">
        <v>3589</v>
      </c>
      <c r="B185" s="995" t="s">
        <v>3590</v>
      </c>
      <c r="C185" s="995" t="s">
        <v>3592</v>
      </c>
      <c r="D185" s="995" t="s">
        <v>3593</v>
      </c>
      <c r="E185" s="995" t="s">
        <v>3594</v>
      </c>
      <c r="F185" s="995" t="s">
        <v>3030</v>
      </c>
      <c r="G185" s="995" t="s">
        <v>3595</v>
      </c>
    </row>
    <row r="186" spans="1:7">
      <c r="A186" s="915" t="s">
        <v>3856</v>
      </c>
      <c r="B186" s="916" t="s">
        <v>5045</v>
      </c>
      <c r="C186" s="916" t="s">
        <v>4559</v>
      </c>
      <c r="D186" s="915"/>
      <c r="E186" s="917">
        <v>50000</v>
      </c>
      <c r="F186" s="918"/>
      <c r="G186" s="918"/>
    </row>
    <row r="187" spans="1:7">
      <c r="A187" s="915" t="s">
        <v>3856</v>
      </c>
      <c r="B187" s="916" t="s">
        <v>5046</v>
      </c>
      <c r="C187" s="916" t="s">
        <v>4935</v>
      </c>
      <c r="D187" s="915" t="s">
        <v>4897</v>
      </c>
      <c r="E187" s="918"/>
      <c r="F187" s="917">
        <v>116000</v>
      </c>
      <c r="G187" s="918"/>
    </row>
    <row r="188" spans="1:7">
      <c r="A188" s="915" t="s">
        <v>3856</v>
      </c>
      <c r="B188" s="916" t="s">
        <v>5047</v>
      </c>
      <c r="C188" s="916" t="s">
        <v>5048</v>
      </c>
      <c r="D188" s="915" t="s">
        <v>4897</v>
      </c>
      <c r="E188" s="917">
        <v>2562</v>
      </c>
      <c r="F188" s="918"/>
      <c r="G188" s="917">
        <v>1279408138</v>
      </c>
    </row>
    <row r="189" spans="1:7">
      <c r="A189" s="915" t="s">
        <v>4215</v>
      </c>
      <c r="B189" s="916" t="s">
        <v>4223</v>
      </c>
      <c r="C189" s="916" t="s">
        <v>4257</v>
      </c>
      <c r="D189" s="915"/>
      <c r="E189" s="918"/>
      <c r="F189" s="917">
        <v>218240</v>
      </c>
      <c r="G189" s="918"/>
    </row>
    <row r="190" spans="1:7">
      <c r="A190" s="915" t="s">
        <v>4215</v>
      </c>
      <c r="B190" s="916" t="s">
        <v>4149</v>
      </c>
      <c r="C190" s="916" t="s">
        <v>4257</v>
      </c>
      <c r="D190" s="915"/>
      <c r="E190" s="918"/>
      <c r="F190" s="917">
        <v>274530</v>
      </c>
      <c r="G190" s="918"/>
    </row>
    <row r="191" spans="1:7">
      <c r="A191" s="915" t="s">
        <v>4215</v>
      </c>
      <c r="B191" s="916" t="s">
        <v>4149</v>
      </c>
      <c r="C191" s="916" t="s">
        <v>4942</v>
      </c>
      <c r="D191" s="915"/>
      <c r="E191" s="918"/>
      <c r="F191" s="917">
        <v>123830</v>
      </c>
      <c r="G191" s="918"/>
    </row>
    <row r="192" spans="1:7">
      <c r="A192" s="915" t="s">
        <v>4215</v>
      </c>
      <c r="B192" s="916" t="s">
        <v>5049</v>
      </c>
      <c r="C192" s="916" t="s">
        <v>4933</v>
      </c>
      <c r="D192" s="915"/>
      <c r="E192" s="917">
        <v>107000</v>
      </c>
      <c r="F192" s="918"/>
      <c r="G192" s="918"/>
    </row>
    <row r="193" spans="1:7">
      <c r="A193" s="915" t="s">
        <v>4215</v>
      </c>
      <c r="B193" s="916" t="s">
        <v>5049</v>
      </c>
      <c r="C193" s="916" t="s">
        <v>5050</v>
      </c>
      <c r="D193" s="915"/>
      <c r="E193" s="918"/>
      <c r="F193" s="917">
        <v>107000</v>
      </c>
      <c r="G193" s="918"/>
    </row>
    <row r="194" spans="1:7" ht="22.5">
      <c r="A194" s="915" t="s">
        <v>4215</v>
      </c>
      <c r="B194" s="916" t="s">
        <v>5051</v>
      </c>
      <c r="C194" s="916" t="s">
        <v>5052</v>
      </c>
      <c r="D194" s="915"/>
      <c r="E194" s="918"/>
      <c r="F194" s="917">
        <v>39800</v>
      </c>
      <c r="G194" s="918"/>
    </row>
    <row r="195" spans="1:7" ht="22.5">
      <c r="A195" s="915" t="s">
        <v>4215</v>
      </c>
      <c r="B195" s="916" t="s">
        <v>5051</v>
      </c>
      <c r="C195" s="916" t="s">
        <v>4933</v>
      </c>
      <c r="D195" s="915"/>
      <c r="E195" s="917">
        <v>193400</v>
      </c>
      <c r="F195" s="918"/>
      <c r="G195" s="918"/>
    </row>
    <row r="196" spans="1:7" ht="22.5">
      <c r="A196" s="915" t="s">
        <v>4215</v>
      </c>
      <c r="B196" s="916" t="s">
        <v>5051</v>
      </c>
      <c r="C196" s="916" t="s">
        <v>5052</v>
      </c>
      <c r="D196" s="915"/>
      <c r="E196" s="918"/>
      <c r="F196" s="917">
        <v>193400</v>
      </c>
      <c r="G196" s="918"/>
    </row>
    <row r="197" spans="1:7">
      <c r="A197" s="915" t="s">
        <v>4215</v>
      </c>
      <c r="B197" s="916" t="s">
        <v>5053</v>
      </c>
      <c r="C197" s="916" t="s">
        <v>4257</v>
      </c>
      <c r="D197" s="915"/>
      <c r="E197" s="917">
        <v>10000</v>
      </c>
      <c r="F197" s="918"/>
      <c r="G197" s="918"/>
    </row>
    <row r="198" spans="1:7">
      <c r="A198" s="915" t="s">
        <v>4215</v>
      </c>
      <c r="B198" s="916" t="s">
        <v>4395</v>
      </c>
      <c r="C198" s="916" t="s">
        <v>4366</v>
      </c>
      <c r="D198" s="915"/>
      <c r="E198" s="917">
        <v>2356360</v>
      </c>
      <c r="F198" s="918"/>
      <c r="G198" s="918"/>
    </row>
    <row r="199" spans="1:7">
      <c r="A199" s="915" t="s">
        <v>4215</v>
      </c>
      <c r="B199" s="916" t="s">
        <v>5054</v>
      </c>
      <c r="C199" s="916" t="s">
        <v>4960</v>
      </c>
      <c r="D199" s="915"/>
      <c r="E199" s="917">
        <v>11000000</v>
      </c>
      <c r="F199" s="918"/>
      <c r="G199" s="918"/>
    </row>
    <row r="200" spans="1:7">
      <c r="A200" s="915" t="s">
        <v>4215</v>
      </c>
      <c r="B200" s="916" t="s">
        <v>5055</v>
      </c>
      <c r="C200" s="916" t="s">
        <v>4910</v>
      </c>
      <c r="D200" s="915"/>
      <c r="E200" s="917">
        <v>500000</v>
      </c>
      <c r="F200" s="918"/>
      <c r="G200" s="918"/>
    </row>
    <row r="201" spans="1:7">
      <c r="A201" s="915" t="s">
        <v>4215</v>
      </c>
      <c r="B201" s="916" t="s">
        <v>5056</v>
      </c>
      <c r="C201" s="916" t="s">
        <v>4957</v>
      </c>
      <c r="D201" s="915"/>
      <c r="E201" s="917">
        <v>387595</v>
      </c>
      <c r="F201" s="918"/>
      <c r="G201" s="917">
        <v>1293005693</v>
      </c>
    </row>
    <row r="202" spans="1:7">
      <c r="A202" s="915" t="s">
        <v>3859</v>
      </c>
      <c r="B202" s="916" t="s">
        <v>5057</v>
      </c>
      <c r="C202" s="916" t="s">
        <v>4992</v>
      </c>
      <c r="D202" s="915"/>
      <c r="E202" s="918"/>
      <c r="F202" s="917">
        <v>2000000</v>
      </c>
      <c r="G202" s="918"/>
    </row>
    <row r="203" spans="1:7">
      <c r="A203" s="915" t="s">
        <v>3859</v>
      </c>
      <c r="B203" s="916" t="s">
        <v>5058</v>
      </c>
      <c r="C203" s="916" t="s">
        <v>4992</v>
      </c>
      <c r="D203" s="915"/>
      <c r="E203" s="918"/>
      <c r="F203" s="917">
        <v>1000000</v>
      </c>
      <c r="G203" s="918"/>
    </row>
    <row r="204" spans="1:7">
      <c r="A204" s="915" t="s">
        <v>3859</v>
      </c>
      <c r="B204" s="916" t="s">
        <v>5059</v>
      </c>
      <c r="C204" s="916" t="s">
        <v>4992</v>
      </c>
      <c r="D204" s="915"/>
      <c r="E204" s="918"/>
      <c r="F204" s="917">
        <v>13500</v>
      </c>
      <c r="G204" s="918"/>
    </row>
    <row r="205" spans="1:7">
      <c r="A205" s="915" t="s">
        <v>3859</v>
      </c>
      <c r="B205" s="916" t="s">
        <v>5059</v>
      </c>
      <c r="C205" s="916" t="s">
        <v>4933</v>
      </c>
      <c r="D205" s="915"/>
      <c r="E205" s="917">
        <v>35000</v>
      </c>
      <c r="F205" s="918"/>
      <c r="G205" s="918"/>
    </row>
    <row r="206" spans="1:7">
      <c r="A206" s="915" t="s">
        <v>3859</v>
      </c>
      <c r="B206" s="916" t="s">
        <v>5059</v>
      </c>
      <c r="C206" s="916" t="s">
        <v>4992</v>
      </c>
      <c r="D206" s="915"/>
      <c r="E206" s="918"/>
      <c r="F206" s="917">
        <v>35000</v>
      </c>
      <c r="G206" s="918"/>
    </row>
    <row r="207" spans="1:7">
      <c r="A207" s="915" t="s">
        <v>3859</v>
      </c>
      <c r="B207" s="916" t="s">
        <v>5060</v>
      </c>
      <c r="C207" s="916" t="s">
        <v>4992</v>
      </c>
      <c r="D207" s="915"/>
      <c r="E207" s="918"/>
      <c r="F207" s="917">
        <v>22400</v>
      </c>
      <c r="G207" s="918"/>
    </row>
    <row r="208" spans="1:7">
      <c r="A208" s="915" t="s">
        <v>3859</v>
      </c>
      <c r="B208" s="916" t="s">
        <v>5060</v>
      </c>
      <c r="C208" s="916" t="s">
        <v>4917</v>
      </c>
      <c r="D208" s="915" t="s">
        <v>4918</v>
      </c>
      <c r="E208" s="917">
        <v>87000</v>
      </c>
      <c r="F208" s="918"/>
      <c r="G208" s="918"/>
    </row>
    <row r="209" spans="1:7">
      <c r="A209" s="915" t="s">
        <v>3859</v>
      </c>
      <c r="B209" s="916" t="s">
        <v>5060</v>
      </c>
      <c r="C209" s="916" t="s">
        <v>4992</v>
      </c>
      <c r="D209" s="915"/>
      <c r="E209" s="918"/>
      <c r="F209" s="917">
        <v>87000</v>
      </c>
      <c r="G209" s="918"/>
    </row>
    <row r="210" spans="1:7">
      <c r="A210" s="915" t="s">
        <v>3859</v>
      </c>
      <c r="B210" s="916" t="s">
        <v>5061</v>
      </c>
      <c r="C210" s="916" t="s">
        <v>4992</v>
      </c>
      <c r="D210" s="915"/>
      <c r="E210" s="918"/>
      <c r="F210" s="917">
        <v>13600</v>
      </c>
      <c r="G210" s="918"/>
    </row>
    <row r="211" spans="1:7">
      <c r="A211" s="915" t="s">
        <v>3859</v>
      </c>
      <c r="B211" s="916" t="s">
        <v>5061</v>
      </c>
      <c r="C211" s="916" t="s">
        <v>4917</v>
      </c>
      <c r="D211" s="915" t="s">
        <v>4918</v>
      </c>
      <c r="E211" s="917">
        <v>151700</v>
      </c>
      <c r="F211" s="918"/>
      <c r="G211" s="918"/>
    </row>
    <row r="212" spans="1:7">
      <c r="A212" s="915" t="s">
        <v>3859</v>
      </c>
      <c r="B212" s="916" t="s">
        <v>5061</v>
      </c>
      <c r="C212" s="916" t="s">
        <v>4992</v>
      </c>
      <c r="D212" s="915"/>
      <c r="E212" s="918"/>
      <c r="F212" s="917">
        <v>151700</v>
      </c>
      <c r="G212" s="918"/>
    </row>
    <row r="213" spans="1:7">
      <c r="A213" s="915" t="s">
        <v>3859</v>
      </c>
      <c r="B213" s="916" t="s">
        <v>5057</v>
      </c>
      <c r="C213" s="916" t="s">
        <v>4903</v>
      </c>
      <c r="D213" s="915"/>
      <c r="E213" s="918"/>
      <c r="F213" s="917">
        <v>700000</v>
      </c>
      <c r="G213" s="918"/>
    </row>
    <row r="214" spans="1:7">
      <c r="A214" s="915" t="s">
        <v>3859</v>
      </c>
      <c r="B214" s="916" t="s">
        <v>5062</v>
      </c>
      <c r="C214" s="916" t="s">
        <v>4903</v>
      </c>
      <c r="D214" s="915"/>
      <c r="E214" s="918"/>
      <c r="F214" s="917">
        <v>20000</v>
      </c>
      <c r="G214" s="918"/>
    </row>
    <row r="215" spans="1:7">
      <c r="A215" s="915" t="s">
        <v>3859</v>
      </c>
      <c r="B215" s="916" t="s">
        <v>5063</v>
      </c>
      <c r="C215" s="916" t="s">
        <v>4903</v>
      </c>
      <c r="D215" s="915"/>
      <c r="E215" s="918"/>
      <c r="F215" s="917">
        <v>10000</v>
      </c>
      <c r="G215" s="918"/>
    </row>
    <row r="216" spans="1:7" ht="22.5">
      <c r="A216" s="915" t="s">
        <v>3859</v>
      </c>
      <c r="B216" s="916" t="s">
        <v>5064</v>
      </c>
      <c r="C216" s="916" t="s">
        <v>4945</v>
      </c>
      <c r="D216" s="915"/>
      <c r="E216" s="918"/>
      <c r="F216" s="917">
        <v>5170000</v>
      </c>
      <c r="G216" s="918"/>
    </row>
    <row r="217" spans="1:7" ht="22.5">
      <c r="A217" s="915" t="s">
        <v>3859</v>
      </c>
      <c r="B217" s="916" t="s">
        <v>5065</v>
      </c>
      <c r="C217" s="916" t="s">
        <v>4966</v>
      </c>
      <c r="D217" s="915"/>
      <c r="E217" s="918"/>
      <c r="F217" s="917">
        <v>1500000</v>
      </c>
      <c r="G217" s="918"/>
    </row>
    <row r="218" spans="1:7" ht="22.5">
      <c r="A218" s="915" t="s">
        <v>3859</v>
      </c>
      <c r="B218" s="916" t="s">
        <v>5065</v>
      </c>
      <c r="C218" s="916" t="s">
        <v>4966</v>
      </c>
      <c r="D218" s="915"/>
      <c r="E218" s="918"/>
      <c r="F218" s="917">
        <v>1800000</v>
      </c>
      <c r="G218" s="918"/>
    </row>
    <row r="219" spans="1:7">
      <c r="A219" s="915" t="s">
        <v>3859</v>
      </c>
      <c r="B219" s="916" t="s">
        <v>5066</v>
      </c>
      <c r="C219" s="916" t="s">
        <v>4257</v>
      </c>
      <c r="D219" s="915"/>
      <c r="E219" s="917">
        <v>1000000</v>
      </c>
      <c r="F219" s="918"/>
      <c r="G219" s="918"/>
    </row>
    <row r="220" spans="1:7">
      <c r="A220" s="915" t="s">
        <v>3859</v>
      </c>
      <c r="B220" s="916" t="s">
        <v>5067</v>
      </c>
      <c r="C220" s="916" t="s">
        <v>4257</v>
      </c>
      <c r="D220" s="915"/>
      <c r="E220" s="917">
        <v>2000000</v>
      </c>
      <c r="F220" s="918"/>
      <c r="G220" s="918"/>
    </row>
    <row r="221" spans="1:7">
      <c r="A221" s="915" t="s">
        <v>3859</v>
      </c>
      <c r="B221" s="916" t="s">
        <v>5068</v>
      </c>
      <c r="C221" s="916" t="s">
        <v>4257</v>
      </c>
      <c r="D221" s="915"/>
      <c r="E221" s="917">
        <v>700000</v>
      </c>
      <c r="F221" s="918"/>
      <c r="G221" s="918"/>
    </row>
    <row r="222" spans="1:7">
      <c r="A222" s="915" t="s">
        <v>3859</v>
      </c>
      <c r="B222" s="916" t="s">
        <v>5069</v>
      </c>
      <c r="C222" s="916" t="s">
        <v>4933</v>
      </c>
      <c r="D222" s="915"/>
      <c r="E222" s="917">
        <v>39400</v>
      </c>
      <c r="F222" s="918"/>
      <c r="G222" s="918"/>
    </row>
    <row r="223" spans="1:7">
      <c r="A223" s="915" t="s">
        <v>3859</v>
      </c>
      <c r="B223" s="916" t="s">
        <v>5070</v>
      </c>
      <c r="C223" s="916" t="s">
        <v>4257</v>
      </c>
      <c r="D223" s="915"/>
      <c r="E223" s="917">
        <v>900000</v>
      </c>
      <c r="F223" s="918"/>
      <c r="G223" s="918"/>
    </row>
    <row r="224" spans="1:7">
      <c r="A224" s="915" t="s">
        <v>3859</v>
      </c>
      <c r="B224" s="916" t="s">
        <v>5071</v>
      </c>
      <c r="C224" s="916" t="s">
        <v>4257</v>
      </c>
      <c r="D224" s="915"/>
      <c r="E224" s="917">
        <v>75000</v>
      </c>
      <c r="F224" s="918"/>
      <c r="G224" s="918"/>
    </row>
    <row r="225" spans="1:7">
      <c r="A225" s="915" t="s">
        <v>3859</v>
      </c>
      <c r="B225" s="916" t="s">
        <v>4964</v>
      </c>
      <c r="C225" s="916" t="s">
        <v>4903</v>
      </c>
      <c r="D225" s="915"/>
      <c r="E225" s="917">
        <v>26780</v>
      </c>
      <c r="F225" s="918"/>
      <c r="G225" s="918"/>
    </row>
    <row r="226" spans="1:7">
      <c r="A226" s="915" t="s">
        <v>3859</v>
      </c>
      <c r="B226" s="916" t="s">
        <v>4964</v>
      </c>
      <c r="C226" s="916" t="s">
        <v>4957</v>
      </c>
      <c r="D226" s="915"/>
      <c r="E226" s="918"/>
      <c r="F226" s="917">
        <v>26780</v>
      </c>
      <c r="G226" s="918"/>
    </row>
    <row r="227" spans="1:7">
      <c r="A227" s="915" t="s">
        <v>3859</v>
      </c>
      <c r="B227" s="916" t="s">
        <v>5072</v>
      </c>
      <c r="C227" s="916" t="s">
        <v>4940</v>
      </c>
      <c r="D227" s="915"/>
      <c r="E227" s="918"/>
      <c r="F227" s="917">
        <v>2068000</v>
      </c>
      <c r="G227" s="918"/>
    </row>
    <row r="228" spans="1:7">
      <c r="A228" s="915" t="s">
        <v>3859</v>
      </c>
      <c r="B228" s="916" t="s">
        <v>5073</v>
      </c>
      <c r="C228" s="916" t="s">
        <v>4960</v>
      </c>
      <c r="D228" s="915"/>
      <c r="E228" s="918"/>
      <c r="F228" s="917">
        <v>1425000</v>
      </c>
      <c r="G228" s="918"/>
    </row>
    <row r="229" spans="1:7">
      <c r="A229" s="995" t="s">
        <v>3589</v>
      </c>
      <c r="B229" s="995" t="s">
        <v>3590</v>
      </c>
      <c r="C229" s="995" t="s">
        <v>3592</v>
      </c>
      <c r="D229" s="995" t="s">
        <v>3593</v>
      </c>
      <c r="E229" s="995" t="s">
        <v>3594</v>
      </c>
      <c r="F229" s="995" t="s">
        <v>3030</v>
      </c>
      <c r="G229" s="995" t="s">
        <v>3595</v>
      </c>
    </row>
    <row r="230" spans="1:7">
      <c r="A230" s="915" t="s">
        <v>3859</v>
      </c>
      <c r="B230" s="916" t="s">
        <v>5073</v>
      </c>
      <c r="C230" s="916" t="s">
        <v>4960</v>
      </c>
      <c r="D230" s="915"/>
      <c r="E230" s="918"/>
      <c r="F230" s="917">
        <v>75000</v>
      </c>
      <c r="G230" s="918"/>
    </row>
    <row r="231" spans="1:7">
      <c r="A231" s="915" t="s">
        <v>3859</v>
      </c>
      <c r="B231" s="916" t="s">
        <v>5074</v>
      </c>
      <c r="C231" s="916" t="s">
        <v>4983</v>
      </c>
      <c r="D231" s="915"/>
      <c r="E231" s="918"/>
      <c r="F231" s="917">
        <v>900000</v>
      </c>
      <c r="G231" s="918"/>
    </row>
    <row r="232" spans="1:7" ht="22.5">
      <c r="A232" s="915" t="s">
        <v>3859</v>
      </c>
      <c r="B232" s="916" t="s">
        <v>5075</v>
      </c>
      <c r="C232" s="916" t="s">
        <v>4983</v>
      </c>
      <c r="D232" s="915"/>
      <c r="E232" s="918"/>
      <c r="F232" s="917">
        <v>900000</v>
      </c>
      <c r="G232" s="918"/>
    </row>
    <row r="233" spans="1:7">
      <c r="A233" s="915" t="s">
        <v>3859</v>
      </c>
      <c r="B233" s="916" t="s">
        <v>5076</v>
      </c>
      <c r="C233" s="916" t="s">
        <v>4908</v>
      </c>
      <c r="D233" s="915" t="s">
        <v>4897</v>
      </c>
      <c r="E233" s="918"/>
      <c r="F233" s="917">
        <v>204810</v>
      </c>
      <c r="G233" s="918"/>
    </row>
    <row r="234" spans="1:7">
      <c r="A234" s="915" t="s">
        <v>3859</v>
      </c>
      <c r="B234" s="916" t="s">
        <v>5077</v>
      </c>
      <c r="C234" s="916" t="s">
        <v>4945</v>
      </c>
      <c r="D234" s="915"/>
      <c r="E234" s="918"/>
      <c r="F234" s="917">
        <v>1967800</v>
      </c>
      <c r="G234" s="918"/>
    </row>
    <row r="235" spans="1:7" ht="22.5">
      <c r="A235" s="915" t="s">
        <v>3859</v>
      </c>
      <c r="B235" s="916" t="s">
        <v>5078</v>
      </c>
      <c r="C235" s="916" t="s">
        <v>4945</v>
      </c>
      <c r="D235" s="915"/>
      <c r="E235" s="918"/>
      <c r="F235" s="917">
        <v>5390000</v>
      </c>
      <c r="G235" s="918"/>
    </row>
    <row r="236" spans="1:7" ht="22.5">
      <c r="A236" s="915" t="s">
        <v>3859</v>
      </c>
      <c r="B236" s="916" t="s">
        <v>5078</v>
      </c>
      <c r="C236" s="916" t="s">
        <v>4945</v>
      </c>
      <c r="D236" s="915"/>
      <c r="E236" s="918"/>
      <c r="F236" s="917">
        <v>54000</v>
      </c>
      <c r="G236" s="918"/>
    </row>
    <row r="237" spans="1:7" ht="22.5">
      <c r="A237" s="915" t="s">
        <v>3859</v>
      </c>
      <c r="B237" s="916" t="s">
        <v>5078</v>
      </c>
      <c r="C237" s="916" t="s">
        <v>4933</v>
      </c>
      <c r="D237" s="915"/>
      <c r="E237" s="917">
        <v>99200</v>
      </c>
      <c r="F237" s="918"/>
      <c r="G237" s="918"/>
    </row>
    <row r="238" spans="1:7" ht="22.5">
      <c r="A238" s="915" t="s">
        <v>3859</v>
      </c>
      <c r="B238" s="916" t="s">
        <v>5078</v>
      </c>
      <c r="C238" s="916" t="s">
        <v>4945</v>
      </c>
      <c r="D238" s="915"/>
      <c r="E238" s="918"/>
      <c r="F238" s="917">
        <v>99200</v>
      </c>
      <c r="G238" s="918"/>
    </row>
    <row r="239" spans="1:7" ht="22.5">
      <c r="A239" s="915" t="s">
        <v>3859</v>
      </c>
      <c r="B239" s="916" t="s">
        <v>5078</v>
      </c>
      <c r="C239" s="916" t="s">
        <v>4257</v>
      </c>
      <c r="D239" s="915"/>
      <c r="E239" s="917">
        <v>74800</v>
      </c>
      <c r="F239" s="918"/>
      <c r="G239" s="918"/>
    </row>
    <row r="240" spans="1:7" ht="22.5">
      <c r="A240" s="915" t="s">
        <v>3859</v>
      </c>
      <c r="B240" s="916" t="s">
        <v>5078</v>
      </c>
      <c r="C240" s="916" t="s">
        <v>4945</v>
      </c>
      <c r="D240" s="915"/>
      <c r="E240" s="918"/>
      <c r="F240" s="917">
        <v>74800</v>
      </c>
      <c r="G240" s="918"/>
    </row>
    <row r="241" spans="1:7">
      <c r="A241" s="915" t="s">
        <v>3859</v>
      </c>
      <c r="B241" s="916" t="s">
        <v>5079</v>
      </c>
      <c r="C241" s="916" t="s">
        <v>4945</v>
      </c>
      <c r="D241" s="915"/>
      <c r="E241" s="918"/>
      <c r="F241" s="917">
        <v>2860000</v>
      </c>
      <c r="G241" s="918"/>
    </row>
    <row r="242" spans="1:7">
      <c r="A242" s="915" t="s">
        <v>3859</v>
      </c>
      <c r="B242" s="916" t="s">
        <v>5079</v>
      </c>
      <c r="C242" s="916" t="s">
        <v>4945</v>
      </c>
      <c r="D242" s="915"/>
      <c r="E242" s="918"/>
      <c r="F242" s="917">
        <v>3608000</v>
      </c>
      <c r="G242" s="918"/>
    </row>
    <row r="243" spans="1:7">
      <c r="A243" s="915" t="s">
        <v>3859</v>
      </c>
      <c r="B243" s="916" t="s">
        <v>5079</v>
      </c>
      <c r="C243" s="916" t="s">
        <v>4945</v>
      </c>
      <c r="D243" s="915"/>
      <c r="E243" s="918"/>
      <c r="F243" s="917">
        <v>550000</v>
      </c>
      <c r="G243" s="918"/>
    </row>
    <row r="244" spans="1:7">
      <c r="A244" s="915" t="s">
        <v>3859</v>
      </c>
      <c r="B244" s="916" t="s">
        <v>5079</v>
      </c>
      <c r="C244" s="916" t="s">
        <v>4933</v>
      </c>
      <c r="D244" s="915"/>
      <c r="E244" s="917">
        <v>97000</v>
      </c>
      <c r="F244" s="918"/>
      <c r="G244" s="918"/>
    </row>
    <row r="245" spans="1:7">
      <c r="A245" s="915" t="s">
        <v>3859</v>
      </c>
      <c r="B245" s="916" t="s">
        <v>5079</v>
      </c>
      <c r="C245" s="916" t="s">
        <v>4945</v>
      </c>
      <c r="D245" s="915"/>
      <c r="E245" s="918"/>
      <c r="F245" s="917">
        <v>97000</v>
      </c>
      <c r="G245" s="918"/>
    </row>
    <row r="246" spans="1:7" ht="22.5">
      <c r="A246" s="915" t="s">
        <v>3859</v>
      </c>
      <c r="B246" s="916" t="s">
        <v>5080</v>
      </c>
      <c r="C246" s="916" t="s">
        <v>4945</v>
      </c>
      <c r="D246" s="915"/>
      <c r="E246" s="918"/>
      <c r="F246" s="917">
        <v>3919600</v>
      </c>
      <c r="G246" s="918"/>
    </row>
    <row r="247" spans="1:7" ht="22.5">
      <c r="A247" s="915" t="s">
        <v>3859</v>
      </c>
      <c r="B247" s="916" t="s">
        <v>5080</v>
      </c>
      <c r="C247" s="916" t="s">
        <v>4945</v>
      </c>
      <c r="D247" s="915"/>
      <c r="E247" s="918"/>
      <c r="F247" s="917">
        <v>31000</v>
      </c>
      <c r="G247" s="918"/>
    </row>
    <row r="248" spans="1:7" ht="22.5">
      <c r="A248" s="915" t="s">
        <v>3859</v>
      </c>
      <c r="B248" s="916" t="s">
        <v>5080</v>
      </c>
      <c r="C248" s="916" t="s">
        <v>4949</v>
      </c>
      <c r="D248" s="915"/>
      <c r="E248" s="917">
        <v>180400</v>
      </c>
      <c r="F248" s="918"/>
      <c r="G248" s="918"/>
    </row>
    <row r="249" spans="1:7" ht="22.5">
      <c r="A249" s="915" t="s">
        <v>3859</v>
      </c>
      <c r="B249" s="916" t="s">
        <v>5080</v>
      </c>
      <c r="C249" s="916" t="s">
        <v>4945</v>
      </c>
      <c r="D249" s="915"/>
      <c r="E249" s="918"/>
      <c r="F249" s="917">
        <v>180400</v>
      </c>
      <c r="G249" s="918"/>
    </row>
    <row r="250" spans="1:7" ht="22.5">
      <c r="A250" s="915" t="s">
        <v>3859</v>
      </c>
      <c r="B250" s="916" t="s">
        <v>5080</v>
      </c>
      <c r="C250" s="916" t="s">
        <v>4933</v>
      </c>
      <c r="D250" s="915"/>
      <c r="E250" s="917">
        <v>163800</v>
      </c>
      <c r="F250" s="918"/>
      <c r="G250" s="918"/>
    </row>
    <row r="251" spans="1:7" ht="22.5">
      <c r="A251" s="915" t="s">
        <v>3859</v>
      </c>
      <c r="B251" s="916" t="s">
        <v>5080</v>
      </c>
      <c r="C251" s="916" t="s">
        <v>4945</v>
      </c>
      <c r="D251" s="915"/>
      <c r="E251" s="918"/>
      <c r="F251" s="917">
        <v>163800</v>
      </c>
      <c r="G251" s="918"/>
    </row>
    <row r="252" spans="1:7">
      <c r="A252" s="915" t="s">
        <v>3859</v>
      </c>
      <c r="B252" s="916" t="s">
        <v>5081</v>
      </c>
      <c r="C252" s="916" t="s">
        <v>4957</v>
      </c>
      <c r="D252" s="915"/>
      <c r="E252" s="917">
        <v>387595</v>
      </c>
      <c r="F252" s="918"/>
      <c r="G252" s="917">
        <v>1261904978</v>
      </c>
    </row>
    <row r="253" spans="1:7">
      <c r="A253" s="915" t="s">
        <v>4591</v>
      </c>
      <c r="B253" s="916" t="s">
        <v>5082</v>
      </c>
      <c r="C253" s="916" t="s">
        <v>4966</v>
      </c>
      <c r="D253" s="915"/>
      <c r="E253" s="918"/>
      <c r="F253" s="917">
        <v>121000</v>
      </c>
      <c r="G253" s="918"/>
    </row>
    <row r="254" spans="1:7" ht="22.5">
      <c r="A254" s="915" t="s">
        <v>4591</v>
      </c>
      <c r="B254" s="916" t="s">
        <v>5083</v>
      </c>
      <c r="C254" s="916" t="s">
        <v>5050</v>
      </c>
      <c r="D254" s="915"/>
      <c r="E254" s="918"/>
      <c r="F254" s="917">
        <v>9372580</v>
      </c>
      <c r="G254" s="918"/>
    </row>
    <row r="255" spans="1:7" ht="22.5">
      <c r="A255" s="915" t="s">
        <v>4591</v>
      </c>
      <c r="B255" s="916" t="s">
        <v>5084</v>
      </c>
      <c r="C255" s="916" t="s">
        <v>5050</v>
      </c>
      <c r="D255" s="915"/>
      <c r="E255" s="918"/>
      <c r="F255" s="917">
        <v>3000000</v>
      </c>
      <c r="G255" s="918"/>
    </row>
    <row r="256" spans="1:7">
      <c r="A256" s="915" t="s">
        <v>4591</v>
      </c>
      <c r="B256" s="916" t="s">
        <v>5085</v>
      </c>
      <c r="C256" s="916" t="s">
        <v>4257</v>
      </c>
      <c r="D256" s="915"/>
      <c r="E256" s="917">
        <v>784695881</v>
      </c>
      <c r="F256" s="918"/>
      <c r="G256" s="918"/>
    </row>
    <row r="257" spans="1:7">
      <c r="A257" s="915" t="s">
        <v>4591</v>
      </c>
      <c r="B257" s="916" t="s">
        <v>5085</v>
      </c>
      <c r="C257" s="916" t="s">
        <v>4257</v>
      </c>
      <c r="D257" s="915"/>
      <c r="E257" s="918"/>
      <c r="F257" s="917">
        <v>784695881</v>
      </c>
      <c r="G257" s="918"/>
    </row>
    <row r="258" spans="1:7">
      <c r="A258" s="915" t="s">
        <v>4591</v>
      </c>
      <c r="B258" s="916" t="s">
        <v>5085</v>
      </c>
      <c r="C258" s="916" t="s">
        <v>4257</v>
      </c>
      <c r="D258" s="915"/>
      <c r="E258" s="917">
        <v>4611400</v>
      </c>
      <c r="F258" s="918"/>
      <c r="G258" s="918"/>
    </row>
    <row r="259" spans="1:7">
      <c r="A259" s="915" t="s">
        <v>4591</v>
      </c>
      <c r="B259" s="916" t="s">
        <v>5086</v>
      </c>
      <c r="C259" s="916" t="s">
        <v>4257</v>
      </c>
      <c r="D259" s="915"/>
      <c r="E259" s="917">
        <v>1781636</v>
      </c>
      <c r="F259" s="918"/>
      <c r="G259" s="918"/>
    </row>
    <row r="260" spans="1:7">
      <c r="A260" s="915" t="s">
        <v>4591</v>
      </c>
      <c r="B260" s="916" t="s">
        <v>5087</v>
      </c>
      <c r="C260" s="916" t="s">
        <v>4951</v>
      </c>
      <c r="D260" s="915"/>
      <c r="E260" s="917">
        <v>3400</v>
      </c>
      <c r="F260" s="918"/>
      <c r="G260" s="918"/>
    </row>
    <row r="261" spans="1:7">
      <c r="A261" s="915" t="s">
        <v>4591</v>
      </c>
      <c r="B261" s="916" t="s">
        <v>5088</v>
      </c>
      <c r="C261" s="916" t="s">
        <v>4951</v>
      </c>
      <c r="D261" s="915"/>
      <c r="E261" s="917">
        <v>9541</v>
      </c>
      <c r="F261" s="918"/>
      <c r="G261" s="918"/>
    </row>
    <row r="262" spans="1:7">
      <c r="A262" s="915" t="s">
        <v>4591</v>
      </c>
      <c r="B262" s="916" t="s">
        <v>4964</v>
      </c>
      <c r="C262" s="916" t="s">
        <v>4903</v>
      </c>
      <c r="D262" s="915"/>
      <c r="E262" s="917">
        <v>28580</v>
      </c>
      <c r="F262" s="918"/>
      <c r="G262" s="918"/>
    </row>
    <row r="263" spans="1:7">
      <c r="A263" s="915" t="s">
        <v>4591</v>
      </c>
      <c r="B263" s="916" t="s">
        <v>4964</v>
      </c>
      <c r="C263" s="916" t="s">
        <v>4957</v>
      </c>
      <c r="D263" s="915"/>
      <c r="E263" s="918"/>
      <c r="F263" s="917">
        <v>28580</v>
      </c>
      <c r="G263" s="918"/>
    </row>
    <row r="264" spans="1:7">
      <c r="A264" s="915" t="s">
        <v>4591</v>
      </c>
      <c r="B264" s="916" t="s">
        <v>5089</v>
      </c>
      <c r="C264" s="916" t="s">
        <v>4903</v>
      </c>
      <c r="D264" s="915"/>
      <c r="E264" s="918"/>
      <c r="F264" s="917">
        <v>13600</v>
      </c>
      <c r="G264" s="918"/>
    </row>
    <row r="265" spans="1:7">
      <c r="A265" s="915" t="s">
        <v>4591</v>
      </c>
      <c r="B265" s="916" t="s">
        <v>5089</v>
      </c>
      <c r="C265" s="916" t="s">
        <v>4903</v>
      </c>
      <c r="D265" s="915"/>
      <c r="E265" s="918"/>
      <c r="F265" s="917">
        <v>16100</v>
      </c>
      <c r="G265" s="918"/>
    </row>
    <row r="266" spans="1:7" ht="22.5">
      <c r="A266" s="915" t="s">
        <v>4591</v>
      </c>
      <c r="B266" s="916" t="s">
        <v>5090</v>
      </c>
      <c r="C266" s="916" t="s">
        <v>4940</v>
      </c>
      <c r="D266" s="915"/>
      <c r="E266" s="918"/>
      <c r="F266" s="917">
        <v>121858000</v>
      </c>
      <c r="G266" s="918"/>
    </row>
    <row r="267" spans="1:7" ht="22.5">
      <c r="A267" s="915" t="s">
        <v>4591</v>
      </c>
      <c r="B267" s="916" t="s">
        <v>5090</v>
      </c>
      <c r="C267" s="916" t="s">
        <v>4940</v>
      </c>
      <c r="D267" s="915"/>
      <c r="E267" s="918"/>
      <c r="F267" s="917">
        <v>4695500</v>
      </c>
      <c r="G267" s="918"/>
    </row>
    <row r="268" spans="1:7">
      <c r="A268" s="915" t="s">
        <v>4591</v>
      </c>
      <c r="B268" s="916" t="s">
        <v>5091</v>
      </c>
      <c r="C268" s="916" t="s">
        <v>4935</v>
      </c>
      <c r="D268" s="915" t="s">
        <v>4897</v>
      </c>
      <c r="E268" s="918"/>
      <c r="F268" s="917">
        <v>250000</v>
      </c>
      <c r="G268" s="918"/>
    </row>
    <row r="269" spans="1:7" ht="33.75">
      <c r="A269" s="915" t="s">
        <v>4591</v>
      </c>
      <c r="B269" s="916" t="s">
        <v>4380</v>
      </c>
      <c r="C269" s="916" t="s">
        <v>4257</v>
      </c>
      <c r="D269" s="915"/>
      <c r="E269" s="918"/>
      <c r="F269" s="917">
        <v>66000</v>
      </c>
      <c r="G269" s="918"/>
    </row>
    <row r="270" spans="1:7">
      <c r="A270" s="915" t="s">
        <v>4591</v>
      </c>
      <c r="B270" s="916" t="s">
        <v>5092</v>
      </c>
      <c r="C270" s="916" t="s">
        <v>4555</v>
      </c>
      <c r="D270" s="915"/>
      <c r="E270" s="917">
        <v>33700</v>
      </c>
      <c r="F270" s="918"/>
      <c r="G270" s="918"/>
    </row>
    <row r="271" spans="1:7">
      <c r="A271" s="915" t="s">
        <v>4591</v>
      </c>
      <c r="B271" s="916" t="s">
        <v>4592</v>
      </c>
      <c r="C271" s="916" t="s">
        <v>4370</v>
      </c>
      <c r="D271" s="915"/>
      <c r="E271" s="917">
        <v>96150</v>
      </c>
      <c r="F271" s="918"/>
      <c r="G271" s="918"/>
    </row>
    <row r="272" spans="1:7">
      <c r="A272" s="915" t="s">
        <v>4591</v>
      </c>
      <c r="B272" s="916" t="s">
        <v>5093</v>
      </c>
      <c r="C272" s="916" t="s">
        <v>4563</v>
      </c>
      <c r="D272" s="915"/>
      <c r="E272" s="917">
        <v>15000</v>
      </c>
      <c r="F272" s="918"/>
      <c r="G272" s="918"/>
    </row>
    <row r="273" spans="1:7">
      <c r="A273" s="995" t="s">
        <v>3589</v>
      </c>
      <c r="B273" s="995" t="s">
        <v>3590</v>
      </c>
      <c r="C273" s="995" t="s">
        <v>3592</v>
      </c>
      <c r="D273" s="995" t="s">
        <v>3593</v>
      </c>
      <c r="E273" s="995" t="s">
        <v>3594</v>
      </c>
      <c r="F273" s="995" t="s">
        <v>3030</v>
      </c>
      <c r="G273" s="995" t="s">
        <v>3595</v>
      </c>
    </row>
    <row r="274" spans="1:7">
      <c r="A274" s="915" t="s">
        <v>4591</v>
      </c>
      <c r="B274" s="916" t="s">
        <v>5094</v>
      </c>
      <c r="C274" s="916" t="s">
        <v>4960</v>
      </c>
      <c r="D274" s="915"/>
      <c r="E274" s="917">
        <v>75951</v>
      </c>
      <c r="F274" s="918"/>
      <c r="G274" s="918"/>
    </row>
    <row r="275" spans="1:7">
      <c r="A275" s="915" t="s">
        <v>4591</v>
      </c>
      <c r="B275" s="916" t="s">
        <v>5095</v>
      </c>
      <c r="C275" s="916" t="s">
        <v>4960</v>
      </c>
      <c r="D275" s="915"/>
      <c r="E275" s="917">
        <v>2100000</v>
      </c>
      <c r="F275" s="918"/>
      <c r="G275" s="918"/>
    </row>
    <row r="276" spans="1:7">
      <c r="A276" s="915" t="s">
        <v>4591</v>
      </c>
      <c r="B276" s="916" t="s">
        <v>5096</v>
      </c>
      <c r="C276" s="916" t="s">
        <v>4908</v>
      </c>
      <c r="D276" s="915" t="s">
        <v>4897</v>
      </c>
      <c r="E276" s="918"/>
      <c r="F276" s="917">
        <v>90000</v>
      </c>
      <c r="G276" s="918"/>
    </row>
    <row r="277" spans="1:7">
      <c r="A277" s="915" t="s">
        <v>4591</v>
      </c>
      <c r="B277" s="916" t="s">
        <v>5097</v>
      </c>
      <c r="C277" s="916" t="s">
        <v>5098</v>
      </c>
      <c r="D277" s="915"/>
      <c r="E277" s="917">
        <v>55000000</v>
      </c>
      <c r="F277" s="918"/>
      <c r="G277" s="918"/>
    </row>
    <row r="278" spans="1:7">
      <c r="A278" s="915" t="s">
        <v>4591</v>
      </c>
      <c r="B278" s="916" t="s">
        <v>5099</v>
      </c>
      <c r="C278" s="916" t="s">
        <v>4903</v>
      </c>
      <c r="D278" s="915"/>
      <c r="E278" s="918"/>
      <c r="F278" s="917">
        <v>30000</v>
      </c>
      <c r="G278" s="918"/>
    </row>
    <row r="279" spans="1:7" ht="22.5">
      <c r="A279" s="915" t="s">
        <v>4591</v>
      </c>
      <c r="B279" s="916" t="s">
        <v>5100</v>
      </c>
      <c r="C279" s="916" t="s">
        <v>4969</v>
      </c>
      <c r="D279" s="915"/>
      <c r="E279" s="917">
        <v>300000</v>
      </c>
      <c r="F279" s="918"/>
      <c r="G279" s="917">
        <v>1186418976</v>
      </c>
    </row>
    <row r="280" spans="1:7" ht="22.5">
      <c r="A280" s="915" t="s">
        <v>3861</v>
      </c>
      <c r="B280" s="916" t="s">
        <v>5101</v>
      </c>
      <c r="C280" s="916" t="s">
        <v>4257</v>
      </c>
      <c r="D280" s="915"/>
      <c r="E280" s="918"/>
      <c r="F280" s="917">
        <v>88440</v>
      </c>
      <c r="G280" s="918"/>
    </row>
    <row r="281" spans="1:7">
      <c r="A281" s="915" t="s">
        <v>3861</v>
      </c>
      <c r="B281" s="916" t="s">
        <v>5102</v>
      </c>
      <c r="C281" s="916" t="s">
        <v>4917</v>
      </c>
      <c r="D281" s="915" t="s">
        <v>4918</v>
      </c>
      <c r="E281" s="917">
        <v>110000</v>
      </c>
      <c r="F281" s="918"/>
      <c r="G281" s="918"/>
    </row>
    <row r="282" spans="1:7">
      <c r="A282" s="915" t="s">
        <v>3861</v>
      </c>
      <c r="B282" s="916" t="s">
        <v>5102</v>
      </c>
      <c r="C282" s="916" t="s">
        <v>4992</v>
      </c>
      <c r="D282" s="915"/>
      <c r="E282" s="918"/>
      <c r="F282" s="917">
        <v>110000</v>
      </c>
      <c r="G282" s="918"/>
    </row>
    <row r="283" spans="1:7" ht="22.5">
      <c r="A283" s="915" t="s">
        <v>3861</v>
      </c>
      <c r="B283" s="916" t="s">
        <v>5103</v>
      </c>
      <c r="C283" s="916" t="s">
        <v>5050</v>
      </c>
      <c r="D283" s="915"/>
      <c r="E283" s="918"/>
      <c r="F283" s="917">
        <v>1200000</v>
      </c>
      <c r="G283" s="918"/>
    </row>
    <row r="284" spans="1:7">
      <c r="A284" s="915" t="s">
        <v>3861</v>
      </c>
      <c r="B284" s="916" t="s">
        <v>5104</v>
      </c>
      <c r="C284" s="916" t="s">
        <v>4966</v>
      </c>
      <c r="D284" s="915"/>
      <c r="E284" s="918"/>
      <c r="F284" s="917">
        <v>18200</v>
      </c>
      <c r="G284" s="918"/>
    </row>
    <row r="285" spans="1:7">
      <c r="A285" s="915" t="s">
        <v>3861</v>
      </c>
      <c r="B285" s="916" t="s">
        <v>5104</v>
      </c>
      <c r="C285" s="916" t="s">
        <v>4933</v>
      </c>
      <c r="D285" s="915"/>
      <c r="E285" s="917">
        <v>56300</v>
      </c>
      <c r="F285" s="918"/>
      <c r="G285" s="918"/>
    </row>
    <row r="286" spans="1:7">
      <c r="A286" s="915" t="s">
        <v>3861</v>
      </c>
      <c r="B286" s="916" t="s">
        <v>5104</v>
      </c>
      <c r="C286" s="916" t="s">
        <v>4966</v>
      </c>
      <c r="D286" s="915"/>
      <c r="E286" s="918"/>
      <c r="F286" s="917">
        <v>56300</v>
      </c>
      <c r="G286" s="918"/>
    </row>
    <row r="287" spans="1:7" ht="22.5">
      <c r="A287" s="915" t="s">
        <v>3861</v>
      </c>
      <c r="B287" s="916" t="s">
        <v>5105</v>
      </c>
      <c r="C287" s="916" t="s">
        <v>4966</v>
      </c>
      <c r="D287" s="915"/>
      <c r="E287" s="918"/>
      <c r="F287" s="917">
        <v>400000</v>
      </c>
      <c r="G287" s="918"/>
    </row>
    <row r="288" spans="1:7">
      <c r="A288" s="915" t="s">
        <v>3861</v>
      </c>
      <c r="B288" s="916" t="s">
        <v>5106</v>
      </c>
      <c r="C288" s="916" t="s">
        <v>4257</v>
      </c>
      <c r="D288" s="915"/>
      <c r="E288" s="918"/>
      <c r="F288" s="917">
        <v>100000</v>
      </c>
      <c r="G288" s="918"/>
    </row>
    <row r="289" spans="1:7">
      <c r="A289" s="915" t="s">
        <v>3861</v>
      </c>
      <c r="B289" s="916" t="s">
        <v>5107</v>
      </c>
      <c r="C289" s="916" t="s">
        <v>4999</v>
      </c>
      <c r="D289" s="915" t="s">
        <v>4897</v>
      </c>
      <c r="E289" s="918"/>
      <c r="F289" s="917">
        <v>3000000</v>
      </c>
      <c r="G289" s="918"/>
    </row>
    <row r="290" spans="1:7">
      <c r="A290" s="915" t="s">
        <v>3861</v>
      </c>
      <c r="B290" s="916" t="s">
        <v>5108</v>
      </c>
      <c r="C290" s="916" t="s">
        <v>4992</v>
      </c>
      <c r="D290" s="915"/>
      <c r="E290" s="918"/>
      <c r="F290" s="917">
        <v>2640000</v>
      </c>
      <c r="G290" s="918"/>
    </row>
    <row r="291" spans="1:7">
      <c r="A291" s="915" t="s">
        <v>3861</v>
      </c>
      <c r="B291" s="916" t="s">
        <v>5086</v>
      </c>
      <c r="C291" s="916" t="s">
        <v>4257</v>
      </c>
      <c r="D291" s="915"/>
      <c r="E291" s="917">
        <v>370125</v>
      </c>
      <c r="F291" s="918"/>
      <c r="G291" s="918"/>
    </row>
    <row r="292" spans="1:7">
      <c r="A292" s="915" t="s">
        <v>3861</v>
      </c>
      <c r="B292" s="916" t="s">
        <v>5109</v>
      </c>
      <c r="C292" s="916" t="s">
        <v>4951</v>
      </c>
      <c r="D292" s="915"/>
      <c r="E292" s="917">
        <v>85100</v>
      </c>
      <c r="F292" s="918"/>
      <c r="G292" s="918"/>
    </row>
    <row r="293" spans="1:7">
      <c r="A293" s="915" t="s">
        <v>3861</v>
      </c>
      <c r="B293" s="916" t="s">
        <v>5110</v>
      </c>
      <c r="C293" s="916" t="s">
        <v>4257</v>
      </c>
      <c r="D293" s="915"/>
      <c r="E293" s="917">
        <v>800000</v>
      </c>
      <c r="F293" s="918"/>
      <c r="G293" s="918"/>
    </row>
    <row r="294" spans="1:7">
      <c r="A294" s="915" t="s">
        <v>3861</v>
      </c>
      <c r="B294" s="916" t="s">
        <v>5111</v>
      </c>
      <c r="C294" s="916" t="s">
        <v>4908</v>
      </c>
      <c r="D294" s="915" t="s">
        <v>4897</v>
      </c>
      <c r="E294" s="918"/>
      <c r="F294" s="917">
        <v>250000</v>
      </c>
      <c r="G294" s="918"/>
    </row>
    <row r="295" spans="1:7" ht="22.5">
      <c r="A295" s="915" t="s">
        <v>3861</v>
      </c>
      <c r="B295" s="916" t="s">
        <v>5112</v>
      </c>
      <c r="C295" s="916" t="s">
        <v>5037</v>
      </c>
      <c r="D295" s="915"/>
      <c r="E295" s="918"/>
      <c r="F295" s="917">
        <v>800000</v>
      </c>
      <c r="G295" s="918"/>
    </row>
    <row r="296" spans="1:7">
      <c r="A296" s="915" t="s">
        <v>3861</v>
      </c>
      <c r="B296" s="916" t="s">
        <v>4932</v>
      </c>
      <c r="C296" s="916" t="s">
        <v>4931</v>
      </c>
      <c r="D296" s="915"/>
      <c r="E296" s="918"/>
      <c r="F296" s="917">
        <v>297000</v>
      </c>
      <c r="G296" s="918"/>
    </row>
    <row r="297" spans="1:7">
      <c r="A297" s="915" t="s">
        <v>3861</v>
      </c>
      <c r="B297" s="916" t="s">
        <v>5113</v>
      </c>
      <c r="C297" s="916" t="s">
        <v>4931</v>
      </c>
      <c r="D297" s="915"/>
      <c r="E297" s="918"/>
      <c r="F297" s="917">
        <v>200000</v>
      </c>
      <c r="G297" s="918"/>
    </row>
    <row r="298" spans="1:7" ht="22.5">
      <c r="A298" s="915" t="s">
        <v>3861</v>
      </c>
      <c r="B298" s="916" t="s">
        <v>5114</v>
      </c>
      <c r="C298" s="916" t="s">
        <v>5037</v>
      </c>
      <c r="D298" s="915"/>
      <c r="E298" s="918"/>
      <c r="F298" s="917">
        <v>1445900</v>
      </c>
      <c r="G298" s="918"/>
    </row>
    <row r="299" spans="1:7" ht="22.5">
      <c r="A299" s="915" t="s">
        <v>3861</v>
      </c>
      <c r="B299" s="916" t="s">
        <v>5115</v>
      </c>
      <c r="C299" s="916" t="s">
        <v>5037</v>
      </c>
      <c r="D299" s="915"/>
      <c r="E299" s="918"/>
      <c r="F299" s="917">
        <v>1434000</v>
      </c>
      <c r="G299" s="918"/>
    </row>
    <row r="300" spans="1:7" ht="22.5">
      <c r="A300" s="915" t="s">
        <v>3861</v>
      </c>
      <c r="B300" s="916" t="s">
        <v>5116</v>
      </c>
      <c r="C300" s="916" t="s">
        <v>4933</v>
      </c>
      <c r="D300" s="915"/>
      <c r="E300" s="917">
        <v>400180</v>
      </c>
      <c r="F300" s="918"/>
      <c r="G300" s="918"/>
    </row>
    <row r="301" spans="1:7" ht="22.5">
      <c r="A301" s="915" t="s">
        <v>3861</v>
      </c>
      <c r="B301" s="916" t="s">
        <v>5116</v>
      </c>
      <c r="C301" s="916" t="s">
        <v>5037</v>
      </c>
      <c r="D301" s="915"/>
      <c r="E301" s="918"/>
      <c r="F301" s="917">
        <v>400180</v>
      </c>
      <c r="G301" s="918"/>
    </row>
    <row r="302" spans="1:7" ht="22.5">
      <c r="A302" s="915" t="s">
        <v>3861</v>
      </c>
      <c r="B302" s="916" t="s">
        <v>5116</v>
      </c>
      <c r="C302" s="916" t="s">
        <v>4257</v>
      </c>
      <c r="D302" s="915"/>
      <c r="E302" s="917">
        <v>50000</v>
      </c>
      <c r="F302" s="918"/>
      <c r="G302" s="918"/>
    </row>
    <row r="303" spans="1:7" ht="22.5">
      <c r="A303" s="915" t="s">
        <v>3861</v>
      </c>
      <c r="B303" s="916" t="s">
        <v>5116</v>
      </c>
      <c r="C303" s="916" t="s">
        <v>5037</v>
      </c>
      <c r="D303" s="915"/>
      <c r="E303" s="918"/>
      <c r="F303" s="917">
        <v>50000</v>
      </c>
      <c r="G303" s="918"/>
    </row>
    <row r="304" spans="1:7" ht="22.5">
      <c r="A304" s="915" t="s">
        <v>3861</v>
      </c>
      <c r="B304" s="916" t="s">
        <v>5115</v>
      </c>
      <c r="C304" s="916" t="s">
        <v>4949</v>
      </c>
      <c r="D304" s="915"/>
      <c r="E304" s="917">
        <v>66000</v>
      </c>
      <c r="F304" s="918"/>
      <c r="G304" s="918"/>
    </row>
    <row r="305" spans="1:7" ht="22.5">
      <c r="A305" s="915" t="s">
        <v>3861</v>
      </c>
      <c r="B305" s="916" t="s">
        <v>5115</v>
      </c>
      <c r="C305" s="916" t="s">
        <v>5037</v>
      </c>
      <c r="D305" s="915"/>
      <c r="E305" s="918"/>
      <c r="F305" s="917">
        <v>66000</v>
      </c>
      <c r="G305" s="918"/>
    </row>
    <row r="306" spans="1:7">
      <c r="A306" s="915" t="s">
        <v>3861</v>
      </c>
      <c r="B306" s="916" t="s">
        <v>4395</v>
      </c>
      <c r="C306" s="916" t="s">
        <v>4366</v>
      </c>
      <c r="D306" s="915"/>
      <c r="E306" s="917">
        <v>620940</v>
      </c>
      <c r="F306" s="918"/>
      <c r="G306" s="918"/>
    </row>
    <row r="307" spans="1:7">
      <c r="A307" s="915" t="s">
        <v>3861</v>
      </c>
      <c r="B307" s="916" t="s">
        <v>5117</v>
      </c>
      <c r="C307" s="916" t="s">
        <v>4910</v>
      </c>
      <c r="D307" s="915"/>
      <c r="E307" s="917">
        <v>100000</v>
      </c>
      <c r="F307" s="918"/>
      <c r="G307" s="918"/>
    </row>
    <row r="308" spans="1:7">
      <c r="A308" s="915" t="s">
        <v>3861</v>
      </c>
      <c r="B308" s="916" t="s">
        <v>5118</v>
      </c>
      <c r="C308" s="916" t="s">
        <v>4898</v>
      </c>
      <c r="D308" s="915"/>
      <c r="E308" s="917">
        <v>143300</v>
      </c>
      <c r="F308" s="918"/>
      <c r="G308" s="918"/>
    </row>
    <row r="309" spans="1:7">
      <c r="A309" s="915" t="s">
        <v>3861</v>
      </c>
      <c r="B309" s="916" t="s">
        <v>5119</v>
      </c>
      <c r="C309" s="916" t="s">
        <v>4257</v>
      </c>
      <c r="D309" s="915"/>
      <c r="E309" s="917">
        <v>10000</v>
      </c>
      <c r="F309" s="918"/>
      <c r="G309" s="918"/>
    </row>
    <row r="310" spans="1:7">
      <c r="A310" s="915" t="s">
        <v>3861</v>
      </c>
      <c r="B310" s="916" t="s">
        <v>5120</v>
      </c>
      <c r="C310" s="916" t="s">
        <v>4935</v>
      </c>
      <c r="D310" s="915" t="s">
        <v>4897</v>
      </c>
      <c r="E310" s="918"/>
      <c r="F310" s="917">
        <v>8700</v>
      </c>
      <c r="G310" s="917">
        <v>1176666201</v>
      </c>
    </row>
    <row r="311" spans="1:7">
      <c r="A311" s="915" t="s">
        <v>5121</v>
      </c>
      <c r="B311" s="916" t="s">
        <v>5122</v>
      </c>
      <c r="C311" s="916" t="s">
        <v>4910</v>
      </c>
      <c r="D311" s="915"/>
      <c r="E311" s="917">
        <v>200000</v>
      </c>
      <c r="F311" s="918"/>
      <c r="G311" s="918"/>
    </row>
    <row r="312" spans="1:7">
      <c r="A312" s="915" t="s">
        <v>5121</v>
      </c>
      <c r="B312" s="916" t="s">
        <v>5123</v>
      </c>
      <c r="C312" s="916" t="s">
        <v>4957</v>
      </c>
      <c r="D312" s="915"/>
      <c r="E312" s="917">
        <v>26309</v>
      </c>
      <c r="F312" s="918"/>
      <c r="G312" s="918"/>
    </row>
    <row r="313" spans="1:7">
      <c r="A313" s="915" t="s">
        <v>5121</v>
      </c>
      <c r="B313" s="916" t="s">
        <v>5124</v>
      </c>
      <c r="C313" s="916" t="s">
        <v>4903</v>
      </c>
      <c r="D313" s="915"/>
      <c r="E313" s="917">
        <v>15071</v>
      </c>
      <c r="F313" s="918"/>
      <c r="G313" s="918"/>
    </row>
    <row r="314" spans="1:7">
      <c r="A314" s="915" t="s">
        <v>5121</v>
      </c>
      <c r="B314" s="916" t="s">
        <v>5125</v>
      </c>
      <c r="C314" s="916" t="s">
        <v>5126</v>
      </c>
      <c r="D314" s="915"/>
      <c r="E314" s="917">
        <v>274</v>
      </c>
      <c r="F314" s="918"/>
      <c r="G314" s="918"/>
    </row>
    <row r="315" spans="1:7">
      <c r="A315" s="915" t="s">
        <v>5121</v>
      </c>
      <c r="B315" s="916" t="s">
        <v>5127</v>
      </c>
      <c r="C315" s="916" t="s">
        <v>5128</v>
      </c>
      <c r="D315" s="915"/>
      <c r="E315" s="917">
        <v>249</v>
      </c>
      <c r="F315" s="918"/>
      <c r="G315" s="918"/>
    </row>
    <row r="316" spans="1:7">
      <c r="A316" s="915" t="s">
        <v>5121</v>
      </c>
      <c r="B316" s="916" t="s">
        <v>5018</v>
      </c>
      <c r="C316" s="916" t="s">
        <v>4931</v>
      </c>
      <c r="D316" s="915"/>
      <c r="E316" s="917">
        <v>9783</v>
      </c>
      <c r="F316" s="918"/>
      <c r="G316" s="918"/>
    </row>
    <row r="317" spans="1:7">
      <c r="A317" s="995" t="s">
        <v>3589</v>
      </c>
      <c r="B317" s="995" t="s">
        <v>3590</v>
      </c>
      <c r="C317" s="995" t="s">
        <v>3592</v>
      </c>
      <c r="D317" s="995" t="s">
        <v>3593</v>
      </c>
      <c r="E317" s="995" t="s">
        <v>3594</v>
      </c>
      <c r="F317" s="995" t="s">
        <v>3030</v>
      </c>
      <c r="G317" s="995" t="s">
        <v>3595</v>
      </c>
    </row>
    <row r="318" spans="1:7">
      <c r="A318" s="915" t="s">
        <v>5121</v>
      </c>
      <c r="B318" s="916" t="s">
        <v>5018</v>
      </c>
      <c r="C318" s="916" t="s">
        <v>4561</v>
      </c>
      <c r="D318" s="915"/>
      <c r="E318" s="917">
        <v>199</v>
      </c>
      <c r="F318" s="918"/>
      <c r="G318" s="917">
        <v>1176918086</v>
      </c>
    </row>
    <row r="319" spans="1:7">
      <c r="A319" s="915" t="s">
        <v>3863</v>
      </c>
      <c r="B319" s="916" t="s">
        <v>5129</v>
      </c>
      <c r="C319" s="916" t="s">
        <v>4257</v>
      </c>
      <c r="D319" s="915"/>
      <c r="E319" s="918"/>
      <c r="F319" s="917">
        <v>150000</v>
      </c>
      <c r="G319" s="918"/>
    </row>
    <row r="320" spans="1:7">
      <c r="A320" s="915" t="s">
        <v>3863</v>
      </c>
      <c r="B320" s="916" t="s">
        <v>5129</v>
      </c>
      <c r="C320" s="916" t="s">
        <v>4257</v>
      </c>
      <c r="D320" s="915"/>
      <c r="E320" s="918"/>
      <c r="F320" s="917">
        <v>32000</v>
      </c>
      <c r="G320" s="918"/>
    </row>
    <row r="321" spans="1:7">
      <c r="A321" s="915" t="s">
        <v>3863</v>
      </c>
      <c r="B321" s="916" t="s">
        <v>5130</v>
      </c>
      <c r="C321" s="916" t="s">
        <v>4910</v>
      </c>
      <c r="D321" s="915"/>
      <c r="E321" s="917">
        <v>11000000</v>
      </c>
      <c r="F321" s="918"/>
      <c r="G321" s="918"/>
    </row>
    <row r="322" spans="1:7">
      <c r="A322" s="915" t="s">
        <v>3863</v>
      </c>
      <c r="B322" s="916" t="s">
        <v>5130</v>
      </c>
      <c r="C322" s="916" t="s">
        <v>4960</v>
      </c>
      <c r="D322" s="915"/>
      <c r="E322" s="918"/>
      <c r="F322" s="917">
        <v>11000000</v>
      </c>
      <c r="G322" s="918"/>
    </row>
    <row r="323" spans="1:7">
      <c r="A323" s="915" t="s">
        <v>3863</v>
      </c>
      <c r="B323" s="916" t="s">
        <v>5131</v>
      </c>
      <c r="C323" s="916" t="s">
        <v>4257</v>
      </c>
      <c r="D323" s="915"/>
      <c r="E323" s="917">
        <v>25050000</v>
      </c>
      <c r="F323" s="918"/>
      <c r="G323" s="918"/>
    </row>
    <row r="324" spans="1:7">
      <c r="A324" s="915" t="s">
        <v>3863</v>
      </c>
      <c r="B324" s="916" t="s">
        <v>5131</v>
      </c>
      <c r="C324" s="916" t="s">
        <v>4910</v>
      </c>
      <c r="D324" s="915"/>
      <c r="E324" s="918"/>
      <c r="F324" s="917">
        <v>25050000</v>
      </c>
      <c r="G324" s="918"/>
    </row>
    <row r="325" spans="1:7">
      <c r="A325" s="915" t="s">
        <v>3863</v>
      </c>
      <c r="B325" s="916" t="s">
        <v>5132</v>
      </c>
      <c r="C325" s="916" t="s">
        <v>4910</v>
      </c>
      <c r="D325" s="915"/>
      <c r="E325" s="917">
        <v>200000</v>
      </c>
      <c r="F325" s="918"/>
      <c r="G325" s="918"/>
    </row>
    <row r="326" spans="1:7">
      <c r="A326" s="915" t="s">
        <v>3863</v>
      </c>
      <c r="B326" s="916" t="s">
        <v>4973</v>
      </c>
      <c r="C326" s="916" t="s">
        <v>4257</v>
      </c>
      <c r="D326" s="915"/>
      <c r="E326" s="918"/>
      <c r="F326" s="917">
        <v>200000</v>
      </c>
      <c r="G326" s="918"/>
    </row>
    <row r="327" spans="1:7">
      <c r="A327" s="915" t="s">
        <v>3863</v>
      </c>
      <c r="B327" s="916" t="s">
        <v>5133</v>
      </c>
      <c r="C327" s="916" t="s">
        <v>4910</v>
      </c>
      <c r="D327" s="915"/>
      <c r="E327" s="917">
        <v>100000</v>
      </c>
      <c r="F327" s="918"/>
      <c r="G327" s="918"/>
    </row>
    <row r="328" spans="1:7">
      <c r="A328" s="915" t="s">
        <v>3863</v>
      </c>
      <c r="B328" s="916" t="s">
        <v>5134</v>
      </c>
      <c r="C328" s="916" t="s">
        <v>4580</v>
      </c>
      <c r="D328" s="915"/>
      <c r="E328" s="917">
        <v>20000</v>
      </c>
      <c r="F328" s="918"/>
      <c r="G328" s="917">
        <v>1176856086</v>
      </c>
    </row>
    <row r="329" spans="1:7" ht="22.5">
      <c r="A329" s="915" t="s">
        <v>4145</v>
      </c>
      <c r="B329" s="916" t="s">
        <v>5135</v>
      </c>
      <c r="C329" s="916" t="s">
        <v>4957</v>
      </c>
      <c r="D329" s="915"/>
      <c r="E329" s="917">
        <v>16500000</v>
      </c>
      <c r="F329" s="918"/>
      <c r="G329" s="918"/>
    </row>
    <row r="330" spans="1:7">
      <c r="A330" s="915" t="s">
        <v>4145</v>
      </c>
      <c r="B330" s="916" t="s">
        <v>5136</v>
      </c>
      <c r="C330" s="916" t="s">
        <v>4903</v>
      </c>
      <c r="D330" s="915"/>
      <c r="E330" s="918"/>
      <c r="F330" s="917">
        <v>87010</v>
      </c>
      <c r="G330" s="918"/>
    </row>
    <row r="331" spans="1:7">
      <c r="A331" s="915" t="s">
        <v>4145</v>
      </c>
      <c r="B331" s="916" t="s">
        <v>5137</v>
      </c>
      <c r="C331" s="916" t="s">
        <v>4966</v>
      </c>
      <c r="D331" s="915"/>
      <c r="E331" s="918"/>
      <c r="F331" s="917">
        <v>135000</v>
      </c>
      <c r="G331" s="918"/>
    </row>
    <row r="332" spans="1:7">
      <c r="A332" s="915" t="s">
        <v>4145</v>
      </c>
      <c r="B332" s="916" t="s">
        <v>5137</v>
      </c>
      <c r="C332" s="916" t="s">
        <v>4966</v>
      </c>
      <c r="D332" s="915"/>
      <c r="E332" s="918"/>
      <c r="F332" s="917">
        <v>69100</v>
      </c>
      <c r="G332" s="918"/>
    </row>
    <row r="333" spans="1:7">
      <c r="A333" s="915" t="s">
        <v>4145</v>
      </c>
      <c r="B333" s="916" t="s">
        <v>5137</v>
      </c>
      <c r="C333" s="916" t="s">
        <v>4933</v>
      </c>
      <c r="D333" s="915"/>
      <c r="E333" s="917">
        <v>29400</v>
      </c>
      <c r="F333" s="918"/>
      <c r="G333" s="918"/>
    </row>
    <row r="334" spans="1:7">
      <c r="A334" s="915" t="s">
        <v>4145</v>
      </c>
      <c r="B334" s="916" t="s">
        <v>5137</v>
      </c>
      <c r="C334" s="916" t="s">
        <v>4966</v>
      </c>
      <c r="D334" s="915"/>
      <c r="E334" s="918"/>
      <c r="F334" s="917">
        <v>29400</v>
      </c>
      <c r="G334" s="918"/>
    </row>
    <row r="335" spans="1:7" ht="22.5">
      <c r="A335" s="915" t="s">
        <v>4145</v>
      </c>
      <c r="B335" s="916" t="s">
        <v>5138</v>
      </c>
      <c r="C335" s="916" t="s">
        <v>4257</v>
      </c>
      <c r="D335" s="915"/>
      <c r="E335" s="918"/>
      <c r="F335" s="917">
        <v>50000</v>
      </c>
      <c r="G335" s="918"/>
    </row>
    <row r="336" spans="1:7">
      <c r="A336" s="915" t="s">
        <v>4145</v>
      </c>
      <c r="B336" s="916" t="s">
        <v>5139</v>
      </c>
      <c r="C336" s="916" t="s">
        <v>4933</v>
      </c>
      <c r="D336" s="915"/>
      <c r="E336" s="917">
        <v>23200</v>
      </c>
      <c r="F336" s="918"/>
      <c r="G336" s="918"/>
    </row>
    <row r="337" spans="1:7">
      <c r="A337" s="915" t="s">
        <v>4145</v>
      </c>
      <c r="B337" s="916" t="s">
        <v>5139</v>
      </c>
      <c r="C337" s="916" t="s">
        <v>4992</v>
      </c>
      <c r="D337" s="915"/>
      <c r="E337" s="918"/>
      <c r="F337" s="917">
        <v>23200</v>
      </c>
      <c r="G337" s="918"/>
    </row>
    <row r="338" spans="1:7" ht="22.5">
      <c r="A338" s="915" t="s">
        <v>4145</v>
      </c>
      <c r="B338" s="916" t="s">
        <v>5140</v>
      </c>
      <c r="C338" s="916" t="s">
        <v>4992</v>
      </c>
      <c r="D338" s="915"/>
      <c r="E338" s="918"/>
      <c r="F338" s="917">
        <v>1000000</v>
      </c>
      <c r="G338" s="918"/>
    </row>
    <row r="339" spans="1:7" ht="22.5">
      <c r="A339" s="915" t="s">
        <v>4145</v>
      </c>
      <c r="B339" s="916" t="s">
        <v>5140</v>
      </c>
      <c r="C339" s="916" t="s">
        <v>4992</v>
      </c>
      <c r="D339" s="915"/>
      <c r="E339" s="918"/>
      <c r="F339" s="917">
        <v>90000</v>
      </c>
      <c r="G339" s="918"/>
    </row>
    <row r="340" spans="1:7" ht="22.5">
      <c r="A340" s="915" t="s">
        <v>4145</v>
      </c>
      <c r="B340" s="916" t="s">
        <v>5140</v>
      </c>
      <c r="C340" s="916" t="s">
        <v>4933</v>
      </c>
      <c r="D340" s="915"/>
      <c r="E340" s="917">
        <v>44000</v>
      </c>
      <c r="F340" s="918"/>
      <c r="G340" s="918"/>
    </row>
    <row r="341" spans="1:7" ht="22.5">
      <c r="A341" s="915" t="s">
        <v>4145</v>
      </c>
      <c r="B341" s="916" t="s">
        <v>5140</v>
      </c>
      <c r="C341" s="916" t="s">
        <v>4992</v>
      </c>
      <c r="D341" s="915"/>
      <c r="E341" s="918"/>
      <c r="F341" s="917">
        <v>44000</v>
      </c>
      <c r="G341" s="918"/>
    </row>
    <row r="342" spans="1:7">
      <c r="A342" s="915" t="s">
        <v>4145</v>
      </c>
      <c r="B342" s="916" t="s">
        <v>5141</v>
      </c>
      <c r="C342" s="916" t="s">
        <v>4951</v>
      </c>
      <c r="D342" s="915"/>
      <c r="E342" s="917">
        <v>10000</v>
      </c>
      <c r="F342" s="918"/>
      <c r="G342" s="918"/>
    </row>
    <row r="343" spans="1:7">
      <c r="A343" s="915" t="s">
        <v>4145</v>
      </c>
      <c r="B343" s="916" t="s">
        <v>5142</v>
      </c>
      <c r="C343" s="916" t="s">
        <v>4951</v>
      </c>
      <c r="D343" s="915"/>
      <c r="E343" s="917">
        <v>170000</v>
      </c>
      <c r="F343" s="918"/>
      <c r="G343" s="918"/>
    </row>
    <row r="344" spans="1:7">
      <c r="A344" s="915" t="s">
        <v>4145</v>
      </c>
      <c r="B344" s="916" t="s">
        <v>5143</v>
      </c>
      <c r="C344" s="916" t="s">
        <v>4898</v>
      </c>
      <c r="D344" s="915"/>
      <c r="E344" s="917">
        <v>100000</v>
      </c>
      <c r="F344" s="918"/>
      <c r="G344" s="918"/>
    </row>
    <row r="345" spans="1:7">
      <c r="A345" s="915" t="s">
        <v>4145</v>
      </c>
      <c r="B345" s="916" t="s">
        <v>5144</v>
      </c>
      <c r="C345" s="916" t="s">
        <v>4951</v>
      </c>
      <c r="D345" s="915"/>
      <c r="E345" s="917">
        <v>8400</v>
      </c>
      <c r="F345" s="918"/>
      <c r="G345" s="918"/>
    </row>
    <row r="346" spans="1:7">
      <c r="A346" s="915" t="s">
        <v>4145</v>
      </c>
      <c r="B346" s="916" t="s">
        <v>4130</v>
      </c>
      <c r="C346" s="916" t="s">
        <v>4942</v>
      </c>
      <c r="D346" s="915"/>
      <c r="E346" s="918"/>
      <c r="F346" s="917">
        <v>600000</v>
      </c>
      <c r="G346" s="918"/>
    </row>
    <row r="347" spans="1:7">
      <c r="A347" s="915" t="s">
        <v>4145</v>
      </c>
      <c r="B347" s="916" t="s">
        <v>4288</v>
      </c>
      <c r="C347" s="916" t="s">
        <v>4257</v>
      </c>
      <c r="D347" s="915"/>
      <c r="E347" s="918"/>
      <c r="F347" s="917">
        <v>157630</v>
      </c>
      <c r="G347" s="917">
        <v>1191455746</v>
      </c>
    </row>
    <row r="348" spans="1:7">
      <c r="A348" s="915" t="s">
        <v>3328</v>
      </c>
      <c r="B348" s="916" t="s">
        <v>5145</v>
      </c>
      <c r="C348" s="916" t="s">
        <v>4898</v>
      </c>
      <c r="D348" s="915"/>
      <c r="E348" s="917">
        <v>172000</v>
      </c>
      <c r="F348" s="918"/>
      <c r="G348" s="918"/>
    </row>
    <row r="349" spans="1:7">
      <c r="A349" s="915" t="s">
        <v>3328</v>
      </c>
      <c r="B349" s="916" t="s">
        <v>4755</v>
      </c>
      <c r="C349" s="916" t="s">
        <v>4942</v>
      </c>
      <c r="D349" s="915"/>
      <c r="E349" s="918"/>
      <c r="F349" s="917">
        <v>2285800</v>
      </c>
      <c r="G349" s="918"/>
    </row>
    <row r="350" spans="1:7">
      <c r="A350" s="915" t="s">
        <v>3328</v>
      </c>
      <c r="B350" s="916" t="s">
        <v>5146</v>
      </c>
      <c r="C350" s="916" t="s">
        <v>4555</v>
      </c>
      <c r="D350" s="915"/>
      <c r="E350" s="917">
        <v>4000</v>
      </c>
      <c r="F350" s="918"/>
      <c r="G350" s="918"/>
    </row>
    <row r="351" spans="1:7">
      <c r="A351" s="915" t="s">
        <v>3328</v>
      </c>
      <c r="B351" s="916" t="s">
        <v>5147</v>
      </c>
      <c r="C351" s="916" t="s">
        <v>5148</v>
      </c>
      <c r="D351" s="915"/>
      <c r="E351" s="917">
        <v>10000</v>
      </c>
      <c r="F351" s="918"/>
      <c r="G351" s="918"/>
    </row>
    <row r="352" spans="1:7">
      <c r="A352" s="915" t="s">
        <v>3328</v>
      </c>
      <c r="B352" s="916" t="s">
        <v>5149</v>
      </c>
      <c r="C352" s="916" t="s">
        <v>4486</v>
      </c>
      <c r="D352" s="915"/>
      <c r="E352" s="917">
        <v>5000</v>
      </c>
      <c r="F352" s="918"/>
      <c r="G352" s="918"/>
    </row>
    <row r="353" spans="1:7">
      <c r="A353" s="915" t="s">
        <v>3328</v>
      </c>
      <c r="B353" s="916" t="s">
        <v>4395</v>
      </c>
      <c r="C353" s="916" t="s">
        <v>4366</v>
      </c>
      <c r="D353" s="915"/>
      <c r="E353" s="917">
        <v>113780</v>
      </c>
      <c r="F353" s="918"/>
      <c r="G353" s="918"/>
    </row>
    <row r="354" spans="1:7">
      <c r="A354" s="915" t="s">
        <v>3328</v>
      </c>
      <c r="B354" s="916" t="s">
        <v>5150</v>
      </c>
      <c r="C354" s="916" t="s">
        <v>4935</v>
      </c>
      <c r="D354" s="915" t="s">
        <v>4897</v>
      </c>
      <c r="E354" s="918"/>
      <c r="F354" s="917">
        <v>28700</v>
      </c>
      <c r="G354" s="918"/>
    </row>
    <row r="355" spans="1:7">
      <c r="A355" s="915" t="s">
        <v>3328</v>
      </c>
      <c r="B355" s="916" t="s">
        <v>5151</v>
      </c>
      <c r="C355" s="916" t="s">
        <v>4935</v>
      </c>
      <c r="D355" s="915" t="s">
        <v>4897</v>
      </c>
      <c r="E355" s="918"/>
      <c r="F355" s="917">
        <v>35250</v>
      </c>
      <c r="G355" s="918"/>
    </row>
    <row r="356" spans="1:7">
      <c r="A356" s="915" t="s">
        <v>3328</v>
      </c>
      <c r="B356" s="916" t="s">
        <v>5152</v>
      </c>
      <c r="C356" s="916" t="s">
        <v>4935</v>
      </c>
      <c r="D356" s="915" t="s">
        <v>4897</v>
      </c>
      <c r="E356" s="918"/>
      <c r="F356" s="917">
        <v>71250</v>
      </c>
      <c r="G356" s="918"/>
    </row>
    <row r="357" spans="1:7">
      <c r="A357" s="915" t="s">
        <v>3328</v>
      </c>
      <c r="B357" s="916" t="s">
        <v>5153</v>
      </c>
      <c r="C357" s="916" t="s">
        <v>4935</v>
      </c>
      <c r="D357" s="915" t="s">
        <v>4897</v>
      </c>
      <c r="E357" s="918"/>
      <c r="F357" s="917">
        <v>461000</v>
      </c>
      <c r="G357" s="917">
        <v>1188878526</v>
      </c>
    </row>
    <row r="358" spans="1:7">
      <c r="A358" s="915" t="s">
        <v>4219</v>
      </c>
      <c r="B358" s="916" t="s">
        <v>5154</v>
      </c>
      <c r="C358" s="916" t="s">
        <v>4257</v>
      </c>
      <c r="D358" s="915"/>
      <c r="E358" s="918"/>
      <c r="F358" s="917">
        <v>20000</v>
      </c>
      <c r="G358" s="918"/>
    </row>
    <row r="359" spans="1:7">
      <c r="A359" s="915" t="s">
        <v>4219</v>
      </c>
      <c r="B359" s="916" t="s">
        <v>4628</v>
      </c>
      <c r="C359" s="916" t="s">
        <v>4257</v>
      </c>
      <c r="D359" s="915"/>
      <c r="E359" s="918"/>
      <c r="F359" s="917">
        <v>30000</v>
      </c>
      <c r="G359" s="918"/>
    </row>
    <row r="360" spans="1:7">
      <c r="A360" s="915" t="s">
        <v>4219</v>
      </c>
      <c r="B360" s="916" t="s">
        <v>4157</v>
      </c>
      <c r="C360" s="916" t="s">
        <v>4257</v>
      </c>
      <c r="D360" s="915"/>
      <c r="E360" s="918"/>
      <c r="F360" s="917">
        <v>179340</v>
      </c>
      <c r="G360" s="918"/>
    </row>
    <row r="361" spans="1:7">
      <c r="A361" s="995" t="s">
        <v>3589</v>
      </c>
      <c r="B361" s="995" t="s">
        <v>3590</v>
      </c>
      <c r="C361" s="995" t="s">
        <v>3592</v>
      </c>
      <c r="D361" s="995" t="s">
        <v>3593</v>
      </c>
      <c r="E361" s="995" t="s">
        <v>3594</v>
      </c>
      <c r="F361" s="995" t="s">
        <v>3030</v>
      </c>
      <c r="G361" s="995" t="s">
        <v>3595</v>
      </c>
    </row>
    <row r="362" spans="1:7">
      <c r="A362" s="915" t="s">
        <v>4219</v>
      </c>
      <c r="B362" s="916" t="s">
        <v>4158</v>
      </c>
      <c r="C362" s="916" t="s">
        <v>4257</v>
      </c>
      <c r="D362" s="915"/>
      <c r="E362" s="918"/>
      <c r="F362" s="917">
        <v>231030</v>
      </c>
      <c r="G362" s="918"/>
    </row>
    <row r="363" spans="1:7">
      <c r="A363" s="915" t="s">
        <v>4219</v>
      </c>
      <c r="B363" s="916" t="s">
        <v>4155</v>
      </c>
      <c r="C363" s="916" t="s">
        <v>4942</v>
      </c>
      <c r="D363" s="915"/>
      <c r="E363" s="918"/>
      <c r="F363" s="917">
        <v>97020</v>
      </c>
      <c r="G363" s="918"/>
    </row>
    <row r="364" spans="1:7">
      <c r="A364" s="915" t="s">
        <v>4219</v>
      </c>
      <c r="B364" s="916" t="s">
        <v>4965</v>
      </c>
      <c r="C364" s="916" t="s">
        <v>4933</v>
      </c>
      <c r="D364" s="915"/>
      <c r="E364" s="917">
        <v>50194</v>
      </c>
      <c r="F364" s="918"/>
      <c r="G364" s="918"/>
    </row>
    <row r="365" spans="1:7">
      <c r="A365" s="915" t="s">
        <v>4219</v>
      </c>
      <c r="B365" s="916" t="s">
        <v>4965</v>
      </c>
      <c r="C365" s="916" t="s">
        <v>4966</v>
      </c>
      <c r="D365" s="915"/>
      <c r="E365" s="918"/>
      <c r="F365" s="917">
        <v>50194</v>
      </c>
      <c r="G365" s="918"/>
    </row>
    <row r="366" spans="1:7">
      <c r="A366" s="915" t="s">
        <v>4219</v>
      </c>
      <c r="B366" s="916" t="s">
        <v>5155</v>
      </c>
      <c r="C366" s="916" t="s">
        <v>4966</v>
      </c>
      <c r="D366" s="915"/>
      <c r="E366" s="918"/>
      <c r="F366" s="917">
        <v>573600</v>
      </c>
      <c r="G366" s="918"/>
    </row>
    <row r="367" spans="1:7">
      <c r="A367" s="915" t="s">
        <v>4219</v>
      </c>
      <c r="B367" s="916" t="s">
        <v>5155</v>
      </c>
      <c r="C367" s="916" t="s">
        <v>4949</v>
      </c>
      <c r="D367" s="915"/>
      <c r="E367" s="917">
        <v>26400</v>
      </c>
      <c r="F367" s="918"/>
      <c r="G367" s="918"/>
    </row>
    <row r="368" spans="1:7">
      <c r="A368" s="915" t="s">
        <v>4219</v>
      </c>
      <c r="B368" s="916" t="s">
        <v>5155</v>
      </c>
      <c r="C368" s="916" t="s">
        <v>4966</v>
      </c>
      <c r="D368" s="915"/>
      <c r="E368" s="918"/>
      <c r="F368" s="917">
        <v>26400</v>
      </c>
      <c r="G368" s="918"/>
    </row>
    <row r="369" spans="1:7">
      <c r="A369" s="915" t="s">
        <v>4219</v>
      </c>
      <c r="B369" s="916" t="s">
        <v>5156</v>
      </c>
      <c r="C369" s="916" t="s">
        <v>4951</v>
      </c>
      <c r="D369" s="915"/>
      <c r="E369" s="917">
        <v>200000</v>
      </c>
      <c r="F369" s="918"/>
      <c r="G369" s="918"/>
    </row>
    <row r="370" spans="1:7">
      <c r="A370" s="915" t="s">
        <v>4219</v>
      </c>
      <c r="B370" s="916" t="s">
        <v>4932</v>
      </c>
      <c r="C370" s="916" t="s">
        <v>4931</v>
      </c>
      <c r="D370" s="915"/>
      <c r="E370" s="918"/>
      <c r="F370" s="917">
        <v>200000</v>
      </c>
      <c r="G370" s="918"/>
    </row>
    <row r="371" spans="1:7">
      <c r="A371" s="915" t="s">
        <v>4219</v>
      </c>
      <c r="B371" s="916" t="s">
        <v>4932</v>
      </c>
      <c r="C371" s="916" t="s">
        <v>4933</v>
      </c>
      <c r="D371" s="915"/>
      <c r="E371" s="917">
        <v>55200</v>
      </c>
      <c r="F371" s="918"/>
      <c r="G371" s="918"/>
    </row>
    <row r="372" spans="1:7">
      <c r="A372" s="915" t="s">
        <v>4219</v>
      </c>
      <c r="B372" s="916" t="s">
        <v>4932</v>
      </c>
      <c r="C372" s="916" t="s">
        <v>4931</v>
      </c>
      <c r="D372" s="915"/>
      <c r="E372" s="918"/>
      <c r="F372" s="917">
        <v>55200</v>
      </c>
      <c r="G372" s="918"/>
    </row>
    <row r="373" spans="1:7">
      <c r="A373" s="915" t="s">
        <v>4219</v>
      </c>
      <c r="B373" s="916" t="s">
        <v>4932</v>
      </c>
      <c r="C373" s="916" t="s">
        <v>4931</v>
      </c>
      <c r="D373" s="915"/>
      <c r="E373" s="918"/>
      <c r="F373" s="917">
        <v>478000</v>
      </c>
      <c r="G373" s="918"/>
    </row>
    <row r="374" spans="1:7">
      <c r="A374" s="915" t="s">
        <v>4219</v>
      </c>
      <c r="B374" s="916" t="s">
        <v>4932</v>
      </c>
      <c r="C374" s="916" t="s">
        <v>4933</v>
      </c>
      <c r="D374" s="915"/>
      <c r="E374" s="917">
        <v>144020</v>
      </c>
      <c r="F374" s="918"/>
      <c r="G374" s="918"/>
    </row>
    <row r="375" spans="1:7">
      <c r="A375" s="915" t="s">
        <v>4219</v>
      </c>
      <c r="B375" s="916" t="s">
        <v>4932</v>
      </c>
      <c r="C375" s="916" t="s">
        <v>4931</v>
      </c>
      <c r="D375" s="915"/>
      <c r="E375" s="918"/>
      <c r="F375" s="917">
        <v>144020</v>
      </c>
      <c r="G375" s="918"/>
    </row>
    <row r="376" spans="1:7" ht="22.5">
      <c r="A376" s="915" t="s">
        <v>4219</v>
      </c>
      <c r="B376" s="916" t="s">
        <v>5157</v>
      </c>
      <c r="C376" s="916" t="s">
        <v>4949</v>
      </c>
      <c r="D376" s="915"/>
      <c r="E376" s="917">
        <v>22000</v>
      </c>
      <c r="F376" s="918"/>
      <c r="G376" s="918"/>
    </row>
    <row r="377" spans="1:7" ht="22.5">
      <c r="A377" s="915" t="s">
        <v>4219</v>
      </c>
      <c r="B377" s="916" t="s">
        <v>5157</v>
      </c>
      <c r="C377" s="916" t="s">
        <v>4931</v>
      </c>
      <c r="D377" s="915"/>
      <c r="E377" s="918"/>
      <c r="F377" s="917">
        <v>22000</v>
      </c>
      <c r="G377" s="918"/>
    </row>
    <row r="378" spans="1:7" ht="22.5">
      <c r="A378" s="915" t="s">
        <v>4219</v>
      </c>
      <c r="B378" s="916" t="s">
        <v>5158</v>
      </c>
      <c r="C378" s="916" t="s">
        <v>5037</v>
      </c>
      <c r="D378" s="915"/>
      <c r="E378" s="918"/>
      <c r="F378" s="917">
        <v>345000</v>
      </c>
      <c r="G378" s="918"/>
    </row>
    <row r="379" spans="1:7" ht="22.5">
      <c r="A379" s="915" t="s">
        <v>4219</v>
      </c>
      <c r="B379" s="916" t="s">
        <v>5159</v>
      </c>
      <c r="C379" s="916" t="s">
        <v>4940</v>
      </c>
      <c r="D379" s="915"/>
      <c r="E379" s="918"/>
      <c r="F379" s="917">
        <v>9750</v>
      </c>
      <c r="G379" s="918"/>
    </row>
    <row r="380" spans="1:7" ht="22.5">
      <c r="A380" s="915" t="s">
        <v>4219</v>
      </c>
      <c r="B380" s="916" t="s">
        <v>5159</v>
      </c>
      <c r="C380" s="916" t="s">
        <v>4933</v>
      </c>
      <c r="D380" s="915"/>
      <c r="E380" s="917">
        <v>38500</v>
      </c>
      <c r="F380" s="918"/>
      <c r="G380" s="918"/>
    </row>
    <row r="381" spans="1:7" ht="22.5">
      <c r="A381" s="915" t="s">
        <v>4219</v>
      </c>
      <c r="B381" s="916" t="s">
        <v>5159</v>
      </c>
      <c r="C381" s="916" t="s">
        <v>4940</v>
      </c>
      <c r="D381" s="915"/>
      <c r="E381" s="918"/>
      <c r="F381" s="917">
        <v>38500</v>
      </c>
      <c r="G381" s="918"/>
    </row>
    <row r="382" spans="1:7">
      <c r="A382" s="915" t="s">
        <v>4219</v>
      </c>
      <c r="B382" s="916" t="s">
        <v>5160</v>
      </c>
      <c r="C382" s="916" t="s">
        <v>4940</v>
      </c>
      <c r="D382" s="915"/>
      <c r="E382" s="918"/>
      <c r="F382" s="917">
        <v>83060</v>
      </c>
      <c r="G382" s="918"/>
    </row>
    <row r="383" spans="1:7">
      <c r="A383" s="915" t="s">
        <v>4219</v>
      </c>
      <c r="B383" s="916" t="s">
        <v>5160</v>
      </c>
      <c r="C383" s="916" t="s">
        <v>4933</v>
      </c>
      <c r="D383" s="915"/>
      <c r="E383" s="917">
        <v>428800</v>
      </c>
      <c r="F383" s="918"/>
      <c r="G383" s="918"/>
    </row>
    <row r="384" spans="1:7">
      <c r="A384" s="915" t="s">
        <v>4219</v>
      </c>
      <c r="B384" s="916" t="s">
        <v>5160</v>
      </c>
      <c r="C384" s="916" t="s">
        <v>4940</v>
      </c>
      <c r="D384" s="915"/>
      <c r="E384" s="918"/>
      <c r="F384" s="917">
        <v>428800</v>
      </c>
      <c r="G384" s="918"/>
    </row>
    <row r="385" spans="1:7" ht="22.5">
      <c r="A385" s="915" t="s">
        <v>4219</v>
      </c>
      <c r="B385" s="916" t="s">
        <v>5161</v>
      </c>
      <c r="C385" s="916" t="s">
        <v>4940</v>
      </c>
      <c r="D385" s="915"/>
      <c r="E385" s="918"/>
      <c r="F385" s="917">
        <v>22500</v>
      </c>
      <c r="G385" s="918"/>
    </row>
    <row r="386" spans="1:7">
      <c r="A386" s="915" t="s">
        <v>4219</v>
      </c>
      <c r="B386" s="916" t="s">
        <v>5162</v>
      </c>
      <c r="C386" s="916" t="s">
        <v>4933</v>
      </c>
      <c r="D386" s="915"/>
      <c r="E386" s="917">
        <v>111400</v>
      </c>
      <c r="F386" s="918"/>
      <c r="G386" s="918"/>
    </row>
    <row r="387" spans="1:7">
      <c r="A387" s="915" t="s">
        <v>4219</v>
      </c>
      <c r="B387" s="916" t="s">
        <v>5163</v>
      </c>
      <c r="C387" s="916" t="s">
        <v>4903</v>
      </c>
      <c r="D387" s="915"/>
      <c r="E387" s="918"/>
      <c r="F387" s="917">
        <v>13900</v>
      </c>
      <c r="G387" s="918"/>
    </row>
    <row r="388" spans="1:7">
      <c r="A388" s="915" t="s">
        <v>4219</v>
      </c>
      <c r="B388" s="916" t="s">
        <v>5163</v>
      </c>
      <c r="C388" s="916" t="s">
        <v>4903</v>
      </c>
      <c r="D388" s="915"/>
      <c r="E388" s="918"/>
      <c r="F388" s="917">
        <v>23100</v>
      </c>
      <c r="G388" s="918"/>
    </row>
    <row r="389" spans="1:7">
      <c r="A389" s="915" t="s">
        <v>4219</v>
      </c>
      <c r="B389" s="916" t="s">
        <v>5164</v>
      </c>
      <c r="C389" s="916" t="s">
        <v>4903</v>
      </c>
      <c r="D389" s="915"/>
      <c r="E389" s="918"/>
      <c r="F389" s="917">
        <v>5000</v>
      </c>
      <c r="G389" s="918"/>
    </row>
    <row r="390" spans="1:7">
      <c r="A390" s="915" t="s">
        <v>4219</v>
      </c>
      <c r="B390" s="916" t="s">
        <v>5165</v>
      </c>
      <c r="C390" s="916" t="s">
        <v>4257</v>
      </c>
      <c r="D390" s="915"/>
      <c r="E390" s="917">
        <v>1000000</v>
      </c>
      <c r="F390" s="918"/>
      <c r="G390" s="918"/>
    </row>
    <row r="391" spans="1:7">
      <c r="A391" s="915" t="s">
        <v>4219</v>
      </c>
      <c r="B391" s="916" t="s">
        <v>5166</v>
      </c>
      <c r="C391" s="916" t="s">
        <v>4960</v>
      </c>
      <c r="D391" s="915"/>
      <c r="E391" s="917">
        <v>1000000</v>
      </c>
      <c r="F391" s="918"/>
      <c r="G391" s="918"/>
    </row>
    <row r="392" spans="1:7">
      <c r="A392" s="915" t="s">
        <v>4219</v>
      </c>
      <c r="B392" s="916" t="s">
        <v>4968</v>
      </c>
      <c r="C392" s="916" t="s">
        <v>4969</v>
      </c>
      <c r="D392" s="915"/>
      <c r="E392" s="917">
        <v>2887</v>
      </c>
      <c r="F392" s="918"/>
      <c r="G392" s="918"/>
    </row>
    <row r="393" spans="1:7">
      <c r="A393" s="915" t="s">
        <v>4219</v>
      </c>
      <c r="B393" s="916" t="s">
        <v>5167</v>
      </c>
      <c r="C393" s="916" t="s">
        <v>5037</v>
      </c>
      <c r="D393" s="915"/>
      <c r="E393" s="917">
        <v>8108</v>
      </c>
      <c r="F393" s="918"/>
      <c r="G393" s="918"/>
    </row>
    <row r="394" spans="1:7">
      <c r="A394" s="915" t="s">
        <v>4219</v>
      </c>
      <c r="B394" s="916" t="s">
        <v>5168</v>
      </c>
      <c r="C394" s="916" t="s">
        <v>5037</v>
      </c>
      <c r="D394" s="915"/>
      <c r="E394" s="917">
        <v>27640</v>
      </c>
      <c r="F394" s="918"/>
      <c r="G394" s="918"/>
    </row>
    <row r="395" spans="1:7">
      <c r="A395" s="915" t="s">
        <v>4219</v>
      </c>
      <c r="B395" s="916" t="s">
        <v>5169</v>
      </c>
      <c r="C395" s="916" t="s">
        <v>4910</v>
      </c>
      <c r="D395" s="915"/>
      <c r="E395" s="917">
        <v>200000</v>
      </c>
      <c r="F395" s="918"/>
      <c r="G395" s="918"/>
    </row>
    <row r="396" spans="1:7">
      <c r="A396" s="915" t="s">
        <v>4219</v>
      </c>
      <c r="B396" s="916" t="s">
        <v>5170</v>
      </c>
      <c r="C396" s="916" t="s">
        <v>4957</v>
      </c>
      <c r="D396" s="915"/>
      <c r="E396" s="917">
        <v>387595</v>
      </c>
      <c r="F396" s="918"/>
      <c r="G396" s="918"/>
    </row>
    <row r="397" spans="1:7">
      <c r="A397" s="915" t="s">
        <v>4219</v>
      </c>
      <c r="B397" s="916" t="s">
        <v>5171</v>
      </c>
      <c r="C397" s="916" t="s">
        <v>4935</v>
      </c>
      <c r="D397" s="915" t="s">
        <v>4897</v>
      </c>
      <c r="E397" s="918"/>
      <c r="F397" s="917">
        <v>258027</v>
      </c>
      <c r="G397" s="918"/>
    </row>
    <row r="398" spans="1:7">
      <c r="A398" s="915" t="s">
        <v>4219</v>
      </c>
      <c r="B398" s="916" t="s">
        <v>5172</v>
      </c>
      <c r="C398" s="916" t="s">
        <v>4908</v>
      </c>
      <c r="D398" s="915" t="s">
        <v>4897</v>
      </c>
      <c r="E398" s="918"/>
      <c r="F398" s="917">
        <v>353064</v>
      </c>
      <c r="G398" s="917">
        <v>1188893765</v>
      </c>
    </row>
    <row r="399" spans="1:7">
      <c r="A399" s="915" t="s">
        <v>3864</v>
      </c>
      <c r="B399" s="916" t="s">
        <v>5173</v>
      </c>
      <c r="C399" s="916" t="s">
        <v>4257</v>
      </c>
      <c r="D399" s="915"/>
      <c r="E399" s="918"/>
      <c r="F399" s="917">
        <v>35874970</v>
      </c>
      <c r="G399" s="918"/>
    </row>
    <row r="400" spans="1:7">
      <c r="A400" s="915" t="s">
        <v>3864</v>
      </c>
      <c r="B400" s="916" t="s">
        <v>5174</v>
      </c>
      <c r="C400" s="916" t="s">
        <v>4257</v>
      </c>
      <c r="D400" s="915"/>
      <c r="E400" s="918"/>
      <c r="F400" s="917">
        <v>180000</v>
      </c>
      <c r="G400" s="918"/>
    </row>
    <row r="401" spans="1:7">
      <c r="A401" s="915" t="s">
        <v>3864</v>
      </c>
      <c r="B401" s="916" t="s">
        <v>4003</v>
      </c>
      <c r="C401" s="916" t="s">
        <v>4257</v>
      </c>
      <c r="D401" s="915"/>
      <c r="E401" s="918"/>
      <c r="F401" s="917">
        <v>1003330</v>
      </c>
      <c r="G401" s="918"/>
    </row>
    <row r="402" spans="1:7">
      <c r="A402" s="915" t="s">
        <v>3864</v>
      </c>
      <c r="B402" s="916" t="s">
        <v>3904</v>
      </c>
      <c r="C402" s="916" t="s">
        <v>4257</v>
      </c>
      <c r="D402" s="915"/>
      <c r="E402" s="918"/>
      <c r="F402" s="917">
        <v>850000</v>
      </c>
      <c r="G402" s="918"/>
    </row>
    <row r="403" spans="1:7">
      <c r="A403" s="915" t="s">
        <v>3864</v>
      </c>
      <c r="B403" s="916" t="s">
        <v>5175</v>
      </c>
      <c r="C403" s="916" t="s">
        <v>4933</v>
      </c>
      <c r="D403" s="915"/>
      <c r="E403" s="917">
        <v>74400</v>
      </c>
      <c r="F403" s="918"/>
      <c r="G403" s="918"/>
    </row>
    <row r="404" spans="1:7">
      <c r="A404" s="915" t="s">
        <v>3864</v>
      </c>
      <c r="B404" s="916" t="s">
        <v>5175</v>
      </c>
      <c r="C404" s="916" t="s">
        <v>4992</v>
      </c>
      <c r="D404" s="915"/>
      <c r="E404" s="918"/>
      <c r="F404" s="917">
        <v>74400</v>
      </c>
      <c r="G404" s="918"/>
    </row>
    <row r="405" spans="1:7">
      <c r="A405" s="995" t="s">
        <v>3589</v>
      </c>
      <c r="B405" s="995" t="s">
        <v>3590</v>
      </c>
      <c r="C405" s="995" t="s">
        <v>3592</v>
      </c>
      <c r="D405" s="995" t="s">
        <v>3593</v>
      </c>
      <c r="E405" s="995" t="s">
        <v>3594</v>
      </c>
      <c r="F405" s="995" t="s">
        <v>3030</v>
      </c>
      <c r="G405" s="995" t="s">
        <v>3595</v>
      </c>
    </row>
    <row r="406" spans="1:7" ht="22.5">
      <c r="A406" s="915" t="s">
        <v>3864</v>
      </c>
      <c r="B406" s="916" t="s">
        <v>5176</v>
      </c>
      <c r="C406" s="916" t="s">
        <v>4966</v>
      </c>
      <c r="D406" s="915"/>
      <c r="E406" s="918"/>
      <c r="F406" s="917">
        <v>2007600</v>
      </c>
      <c r="G406" s="918"/>
    </row>
    <row r="407" spans="1:7" ht="22.5">
      <c r="A407" s="915" t="s">
        <v>3864</v>
      </c>
      <c r="B407" s="916" t="s">
        <v>5176</v>
      </c>
      <c r="C407" s="916" t="s">
        <v>4949</v>
      </c>
      <c r="D407" s="915"/>
      <c r="E407" s="917">
        <v>92400</v>
      </c>
      <c r="F407" s="918"/>
      <c r="G407" s="918"/>
    </row>
    <row r="408" spans="1:7" ht="22.5">
      <c r="A408" s="915" t="s">
        <v>3864</v>
      </c>
      <c r="B408" s="916" t="s">
        <v>5176</v>
      </c>
      <c r="C408" s="916" t="s">
        <v>4966</v>
      </c>
      <c r="D408" s="915"/>
      <c r="E408" s="918"/>
      <c r="F408" s="917">
        <v>92400</v>
      </c>
      <c r="G408" s="918"/>
    </row>
    <row r="409" spans="1:7">
      <c r="A409" s="915" t="s">
        <v>3864</v>
      </c>
      <c r="B409" s="916" t="s">
        <v>5177</v>
      </c>
      <c r="C409" s="916" t="s">
        <v>4945</v>
      </c>
      <c r="D409" s="915"/>
      <c r="E409" s="918"/>
      <c r="F409" s="917">
        <v>91400</v>
      </c>
      <c r="G409" s="918"/>
    </row>
    <row r="410" spans="1:7">
      <c r="A410" s="915" t="s">
        <v>3864</v>
      </c>
      <c r="B410" s="916" t="s">
        <v>5177</v>
      </c>
      <c r="C410" s="916" t="s">
        <v>4257</v>
      </c>
      <c r="D410" s="915"/>
      <c r="E410" s="917">
        <v>78000</v>
      </c>
      <c r="F410" s="918"/>
      <c r="G410" s="918"/>
    </row>
    <row r="411" spans="1:7">
      <c r="A411" s="915" t="s">
        <v>3864</v>
      </c>
      <c r="B411" s="916" t="s">
        <v>5177</v>
      </c>
      <c r="C411" s="916" t="s">
        <v>4945</v>
      </c>
      <c r="D411" s="915"/>
      <c r="E411" s="918"/>
      <c r="F411" s="917">
        <v>78000</v>
      </c>
      <c r="G411" s="918"/>
    </row>
    <row r="412" spans="1:7">
      <c r="A412" s="915" t="s">
        <v>3864</v>
      </c>
      <c r="B412" s="916" t="s">
        <v>5178</v>
      </c>
      <c r="C412" s="916" t="s">
        <v>4945</v>
      </c>
      <c r="D412" s="915"/>
      <c r="E412" s="918"/>
      <c r="F412" s="917">
        <v>67300</v>
      </c>
      <c r="G412" s="918"/>
    </row>
    <row r="413" spans="1:7">
      <c r="A413" s="915" t="s">
        <v>3864</v>
      </c>
      <c r="B413" s="916" t="s">
        <v>5178</v>
      </c>
      <c r="C413" s="916" t="s">
        <v>4945</v>
      </c>
      <c r="D413" s="915"/>
      <c r="E413" s="918"/>
      <c r="F413" s="917">
        <v>150000</v>
      </c>
      <c r="G413" s="918"/>
    </row>
    <row r="414" spans="1:7">
      <c r="A414" s="915" t="s">
        <v>3864</v>
      </c>
      <c r="B414" s="916" t="s">
        <v>5178</v>
      </c>
      <c r="C414" s="916" t="s">
        <v>4257</v>
      </c>
      <c r="D414" s="915"/>
      <c r="E414" s="917">
        <v>42000</v>
      </c>
      <c r="F414" s="918"/>
      <c r="G414" s="918"/>
    </row>
    <row r="415" spans="1:7">
      <c r="A415" s="915" t="s">
        <v>3864</v>
      </c>
      <c r="B415" s="916" t="s">
        <v>5178</v>
      </c>
      <c r="C415" s="916" t="s">
        <v>4945</v>
      </c>
      <c r="D415" s="915"/>
      <c r="E415" s="918"/>
      <c r="F415" s="917">
        <v>42000</v>
      </c>
      <c r="G415" s="918"/>
    </row>
    <row r="416" spans="1:7">
      <c r="A416" s="915" t="s">
        <v>3864</v>
      </c>
      <c r="B416" s="916" t="s">
        <v>5178</v>
      </c>
      <c r="C416" s="916" t="s">
        <v>4933</v>
      </c>
      <c r="D416" s="915"/>
      <c r="E416" s="917">
        <v>99300</v>
      </c>
      <c r="F416" s="918"/>
      <c r="G416" s="918"/>
    </row>
    <row r="417" spans="1:7">
      <c r="A417" s="915" t="s">
        <v>3864</v>
      </c>
      <c r="B417" s="916" t="s">
        <v>5178</v>
      </c>
      <c r="C417" s="916" t="s">
        <v>4945</v>
      </c>
      <c r="D417" s="915"/>
      <c r="E417" s="918"/>
      <c r="F417" s="917">
        <v>99300</v>
      </c>
      <c r="G417" s="918"/>
    </row>
    <row r="418" spans="1:7">
      <c r="A418" s="915" t="s">
        <v>3864</v>
      </c>
      <c r="B418" s="916" t="s">
        <v>5179</v>
      </c>
      <c r="C418" s="916" t="s">
        <v>4945</v>
      </c>
      <c r="D418" s="915"/>
      <c r="E418" s="918"/>
      <c r="F418" s="917">
        <v>1400000</v>
      </c>
      <c r="G418" s="918"/>
    </row>
    <row r="419" spans="1:7">
      <c r="A419" s="915" t="s">
        <v>3864</v>
      </c>
      <c r="B419" s="916" t="s">
        <v>5179</v>
      </c>
      <c r="C419" s="916" t="s">
        <v>4945</v>
      </c>
      <c r="D419" s="915"/>
      <c r="E419" s="918"/>
      <c r="F419" s="917">
        <v>190990</v>
      </c>
      <c r="G419" s="918"/>
    </row>
    <row r="420" spans="1:7">
      <c r="A420" s="915" t="s">
        <v>3864</v>
      </c>
      <c r="B420" s="916" t="s">
        <v>5179</v>
      </c>
      <c r="C420" s="916" t="s">
        <v>4933</v>
      </c>
      <c r="D420" s="915"/>
      <c r="E420" s="917">
        <v>273500</v>
      </c>
      <c r="F420" s="918"/>
      <c r="G420" s="918"/>
    </row>
    <row r="421" spans="1:7">
      <c r="A421" s="915" t="s">
        <v>3864</v>
      </c>
      <c r="B421" s="916" t="s">
        <v>5179</v>
      </c>
      <c r="C421" s="916" t="s">
        <v>4945</v>
      </c>
      <c r="D421" s="915"/>
      <c r="E421" s="918"/>
      <c r="F421" s="917">
        <v>273500</v>
      </c>
      <c r="G421" s="918"/>
    </row>
    <row r="422" spans="1:7">
      <c r="A422" s="915" t="s">
        <v>3864</v>
      </c>
      <c r="B422" s="916" t="s">
        <v>5180</v>
      </c>
      <c r="C422" s="916" t="s">
        <v>4992</v>
      </c>
      <c r="D422" s="915"/>
      <c r="E422" s="918"/>
      <c r="F422" s="917">
        <v>1400000</v>
      </c>
      <c r="G422" s="918"/>
    </row>
    <row r="423" spans="1:7">
      <c r="A423" s="915" t="s">
        <v>3864</v>
      </c>
      <c r="B423" s="916" t="s">
        <v>4699</v>
      </c>
      <c r="C423" s="916" t="s">
        <v>4942</v>
      </c>
      <c r="D423" s="915"/>
      <c r="E423" s="918"/>
      <c r="F423" s="917">
        <v>100000</v>
      </c>
      <c r="G423" s="918"/>
    </row>
    <row r="424" spans="1:7">
      <c r="A424" s="915" t="s">
        <v>3864</v>
      </c>
      <c r="B424" s="916" t="s">
        <v>5181</v>
      </c>
      <c r="C424" s="916" t="s">
        <v>4945</v>
      </c>
      <c r="D424" s="915"/>
      <c r="E424" s="918"/>
      <c r="F424" s="917">
        <v>956000</v>
      </c>
      <c r="G424" s="918"/>
    </row>
    <row r="425" spans="1:7">
      <c r="A425" s="915" t="s">
        <v>3864</v>
      </c>
      <c r="B425" s="916" t="s">
        <v>5181</v>
      </c>
      <c r="C425" s="916" t="s">
        <v>4949</v>
      </c>
      <c r="D425" s="915"/>
      <c r="E425" s="917">
        <v>44000</v>
      </c>
      <c r="F425" s="918"/>
      <c r="G425" s="918"/>
    </row>
    <row r="426" spans="1:7">
      <c r="A426" s="915" t="s">
        <v>3864</v>
      </c>
      <c r="B426" s="916" t="s">
        <v>5181</v>
      </c>
      <c r="C426" s="916" t="s">
        <v>4945</v>
      </c>
      <c r="D426" s="915"/>
      <c r="E426" s="918"/>
      <c r="F426" s="917">
        <v>44000</v>
      </c>
      <c r="G426" s="918"/>
    </row>
    <row r="427" spans="1:7">
      <c r="A427" s="915" t="s">
        <v>3864</v>
      </c>
      <c r="B427" s="916" t="s">
        <v>5182</v>
      </c>
      <c r="C427" s="916" t="s">
        <v>4257</v>
      </c>
      <c r="D427" s="915"/>
      <c r="E427" s="917">
        <v>150000</v>
      </c>
      <c r="F427" s="918"/>
      <c r="G427" s="918"/>
    </row>
    <row r="428" spans="1:7">
      <c r="A428" s="915" t="s">
        <v>3864</v>
      </c>
      <c r="B428" s="916" t="s">
        <v>4964</v>
      </c>
      <c r="C428" s="916" t="s">
        <v>4903</v>
      </c>
      <c r="D428" s="915"/>
      <c r="E428" s="917">
        <v>25580</v>
      </c>
      <c r="F428" s="918"/>
      <c r="G428" s="918"/>
    </row>
    <row r="429" spans="1:7">
      <c r="A429" s="915" t="s">
        <v>3864</v>
      </c>
      <c r="B429" s="916" t="s">
        <v>4964</v>
      </c>
      <c r="C429" s="916" t="s">
        <v>4957</v>
      </c>
      <c r="D429" s="915"/>
      <c r="E429" s="918"/>
      <c r="F429" s="917">
        <v>25580</v>
      </c>
      <c r="G429" s="918"/>
    </row>
    <row r="430" spans="1:7">
      <c r="A430" s="915" t="s">
        <v>3864</v>
      </c>
      <c r="B430" s="916" t="s">
        <v>4005</v>
      </c>
      <c r="C430" s="916" t="s">
        <v>4257</v>
      </c>
      <c r="D430" s="915"/>
      <c r="E430" s="918"/>
      <c r="F430" s="917">
        <v>121070</v>
      </c>
      <c r="G430" s="918"/>
    </row>
    <row r="431" spans="1:7">
      <c r="A431" s="915" t="s">
        <v>3864</v>
      </c>
      <c r="B431" s="916" t="s">
        <v>4593</v>
      </c>
      <c r="C431" s="916" t="s">
        <v>4555</v>
      </c>
      <c r="D431" s="915"/>
      <c r="E431" s="917">
        <v>135748</v>
      </c>
      <c r="F431" s="918"/>
      <c r="G431" s="918"/>
    </row>
    <row r="432" spans="1:7">
      <c r="A432" s="915" t="s">
        <v>3864</v>
      </c>
      <c r="B432" s="916" t="s">
        <v>5183</v>
      </c>
      <c r="C432" s="916" t="s">
        <v>4555</v>
      </c>
      <c r="D432" s="915"/>
      <c r="E432" s="917">
        <v>14200</v>
      </c>
      <c r="F432" s="918"/>
      <c r="G432" s="918"/>
    </row>
    <row r="433" spans="1:7">
      <c r="A433" s="915" t="s">
        <v>3864</v>
      </c>
      <c r="B433" s="916" t="s">
        <v>5184</v>
      </c>
      <c r="C433" s="916" t="s">
        <v>4960</v>
      </c>
      <c r="D433" s="915"/>
      <c r="E433" s="917">
        <v>2000000</v>
      </c>
      <c r="F433" s="918"/>
      <c r="G433" s="918"/>
    </row>
    <row r="434" spans="1:7">
      <c r="A434" s="915" t="s">
        <v>3864</v>
      </c>
      <c r="B434" s="916" t="s">
        <v>5094</v>
      </c>
      <c r="C434" s="916" t="s">
        <v>4960</v>
      </c>
      <c r="D434" s="915"/>
      <c r="E434" s="917">
        <v>20192</v>
      </c>
      <c r="F434" s="918"/>
      <c r="G434" s="918"/>
    </row>
    <row r="435" spans="1:7">
      <c r="A435" s="915" t="s">
        <v>3864</v>
      </c>
      <c r="B435" s="916" t="s">
        <v>4968</v>
      </c>
      <c r="C435" s="916" t="s">
        <v>4969</v>
      </c>
      <c r="D435" s="915"/>
      <c r="E435" s="917">
        <v>1</v>
      </c>
      <c r="F435" s="918"/>
      <c r="G435" s="918"/>
    </row>
    <row r="436" spans="1:7">
      <c r="A436" s="915" t="s">
        <v>3864</v>
      </c>
      <c r="B436" s="916" t="s">
        <v>5185</v>
      </c>
      <c r="C436" s="916" t="s">
        <v>5037</v>
      </c>
      <c r="D436" s="915"/>
      <c r="E436" s="917">
        <v>9761</v>
      </c>
      <c r="F436" s="918"/>
      <c r="G436" s="918"/>
    </row>
    <row r="437" spans="1:7">
      <c r="A437" s="915" t="s">
        <v>3864</v>
      </c>
      <c r="B437" s="916" t="s">
        <v>5186</v>
      </c>
      <c r="C437" s="916" t="s">
        <v>5037</v>
      </c>
      <c r="D437" s="915"/>
      <c r="E437" s="917">
        <v>5099</v>
      </c>
      <c r="F437" s="918"/>
      <c r="G437" s="918"/>
    </row>
    <row r="438" spans="1:7">
      <c r="A438" s="915" t="s">
        <v>3864</v>
      </c>
      <c r="B438" s="916" t="s">
        <v>5187</v>
      </c>
      <c r="C438" s="916" t="s">
        <v>4561</v>
      </c>
      <c r="D438" s="915"/>
      <c r="E438" s="917">
        <v>5000000</v>
      </c>
      <c r="F438" s="918"/>
      <c r="G438" s="918"/>
    </row>
    <row r="439" spans="1:7">
      <c r="A439" s="915" t="s">
        <v>3864</v>
      </c>
      <c r="B439" s="916" t="s">
        <v>4937</v>
      </c>
      <c r="C439" s="916" t="s">
        <v>4935</v>
      </c>
      <c r="D439" s="915" t="s">
        <v>4897</v>
      </c>
      <c r="E439" s="918"/>
      <c r="F439" s="917">
        <v>19600</v>
      </c>
      <c r="G439" s="918"/>
    </row>
    <row r="440" spans="1:7">
      <c r="A440" s="915" t="s">
        <v>3864</v>
      </c>
      <c r="B440" s="916" t="s">
        <v>5188</v>
      </c>
      <c r="C440" s="916" t="s">
        <v>4910</v>
      </c>
      <c r="D440" s="915"/>
      <c r="E440" s="917">
        <v>200000</v>
      </c>
      <c r="F440" s="918"/>
      <c r="G440" s="917">
        <v>1152016506</v>
      </c>
    </row>
    <row r="441" spans="1:7">
      <c r="A441" s="915" t="s">
        <v>5189</v>
      </c>
      <c r="B441" s="916" t="s">
        <v>5190</v>
      </c>
      <c r="C441" s="916" t="s">
        <v>4951</v>
      </c>
      <c r="D441" s="915"/>
      <c r="E441" s="917">
        <v>11232</v>
      </c>
      <c r="F441" s="918"/>
      <c r="G441" s="918"/>
    </row>
    <row r="442" spans="1:7">
      <c r="A442" s="915" t="s">
        <v>5189</v>
      </c>
      <c r="B442" s="916" t="s">
        <v>5191</v>
      </c>
      <c r="C442" s="916" t="s">
        <v>4951</v>
      </c>
      <c r="D442" s="915"/>
      <c r="E442" s="918"/>
      <c r="F442" s="917">
        <v>1570</v>
      </c>
      <c r="G442" s="918"/>
    </row>
    <row r="443" spans="1:7">
      <c r="A443" s="915" t="s">
        <v>5189</v>
      </c>
      <c r="B443" s="916" t="s">
        <v>5192</v>
      </c>
      <c r="C443" s="916" t="s">
        <v>4933</v>
      </c>
      <c r="D443" s="915"/>
      <c r="E443" s="917">
        <v>3639</v>
      </c>
      <c r="F443" s="918"/>
      <c r="G443" s="918"/>
    </row>
    <row r="444" spans="1:7">
      <c r="A444" s="915" t="s">
        <v>5189</v>
      </c>
      <c r="B444" s="916" t="s">
        <v>5193</v>
      </c>
      <c r="C444" s="916" t="s">
        <v>4949</v>
      </c>
      <c r="D444" s="915"/>
      <c r="E444" s="917">
        <v>585</v>
      </c>
      <c r="F444" s="918"/>
      <c r="G444" s="918"/>
    </row>
    <row r="445" spans="1:7">
      <c r="A445" s="915" t="s">
        <v>5189</v>
      </c>
      <c r="B445" s="916" t="s">
        <v>5194</v>
      </c>
      <c r="C445" s="916" t="s">
        <v>5195</v>
      </c>
      <c r="D445" s="915"/>
      <c r="E445" s="917">
        <v>7896</v>
      </c>
      <c r="F445" s="918"/>
      <c r="G445" s="918"/>
    </row>
    <row r="446" spans="1:7">
      <c r="A446" s="915" t="s">
        <v>5189</v>
      </c>
      <c r="B446" s="916" t="s">
        <v>5196</v>
      </c>
      <c r="C446" s="916" t="s">
        <v>5195</v>
      </c>
      <c r="D446" s="915"/>
      <c r="E446" s="918"/>
      <c r="F446" s="917">
        <v>1100</v>
      </c>
      <c r="G446" s="918"/>
    </row>
    <row r="447" spans="1:7" ht="22.5">
      <c r="A447" s="915" t="s">
        <v>5189</v>
      </c>
      <c r="B447" s="916" t="s">
        <v>5197</v>
      </c>
      <c r="C447" s="916" t="s">
        <v>5052</v>
      </c>
      <c r="D447" s="915"/>
      <c r="E447" s="917">
        <v>1863</v>
      </c>
      <c r="F447" s="918"/>
      <c r="G447" s="918"/>
    </row>
    <row r="448" spans="1:7">
      <c r="A448" s="915" t="s">
        <v>5189</v>
      </c>
      <c r="B448" s="916" t="s">
        <v>5198</v>
      </c>
      <c r="C448" s="916" t="s">
        <v>5050</v>
      </c>
      <c r="D448" s="915"/>
      <c r="E448" s="917">
        <v>15620</v>
      </c>
      <c r="F448" s="918"/>
      <c r="G448" s="918"/>
    </row>
    <row r="449" spans="1:7">
      <c r="A449" s="995" t="s">
        <v>3589</v>
      </c>
      <c r="B449" s="995" t="s">
        <v>3590</v>
      </c>
      <c r="C449" s="995" t="s">
        <v>3592</v>
      </c>
      <c r="D449" s="995" t="s">
        <v>3593</v>
      </c>
      <c r="E449" s="995" t="s">
        <v>3594</v>
      </c>
      <c r="F449" s="995" t="s">
        <v>3030</v>
      </c>
      <c r="G449" s="995" t="s">
        <v>3595</v>
      </c>
    </row>
    <row r="450" spans="1:7">
      <c r="A450" s="915" t="s">
        <v>5189</v>
      </c>
      <c r="B450" s="916" t="s">
        <v>5199</v>
      </c>
      <c r="C450" s="916" t="s">
        <v>5050</v>
      </c>
      <c r="D450" s="915"/>
      <c r="E450" s="918"/>
      <c r="F450" s="917">
        <v>2180</v>
      </c>
      <c r="G450" s="918"/>
    </row>
    <row r="451" spans="1:7">
      <c r="A451" s="915" t="s">
        <v>5189</v>
      </c>
      <c r="B451" s="916" t="s">
        <v>5200</v>
      </c>
      <c r="C451" s="916" t="s">
        <v>4992</v>
      </c>
      <c r="D451" s="915"/>
      <c r="E451" s="917">
        <v>9258</v>
      </c>
      <c r="F451" s="918"/>
      <c r="G451" s="918"/>
    </row>
    <row r="452" spans="1:7">
      <c r="A452" s="915" t="s">
        <v>5189</v>
      </c>
      <c r="B452" s="916" t="s">
        <v>5201</v>
      </c>
      <c r="C452" s="916" t="s">
        <v>4992</v>
      </c>
      <c r="D452" s="915"/>
      <c r="E452" s="918"/>
      <c r="F452" s="917">
        <v>1290</v>
      </c>
      <c r="G452" s="918"/>
    </row>
    <row r="453" spans="1:7">
      <c r="A453" s="915" t="s">
        <v>5189</v>
      </c>
      <c r="B453" s="916" t="s">
        <v>5202</v>
      </c>
      <c r="C453" s="916" t="s">
        <v>5203</v>
      </c>
      <c r="D453" s="915"/>
      <c r="E453" s="917">
        <v>1975</v>
      </c>
      <c r="F453" s="918"/>
      <c r="G453" s="918"/>
    </row>
    <row r="454" spans="1:7">
      <c r="A454" s="915" t="s">
        <v>5189</v>
      </c>
      <c r="B454" s="916" t="s">
        <v>5204</v>
      </c>
      <c r="C454" s="916" t="s">
        <v>4912</v>
      </c>
      <c r="D454" s="915"/>
      <c r="E454" s="917">
        <v>2291</v>
      </c>
      <c r="F454" s="918"/>
      <c r="G454" s="918"/>
    </row>
    <row r="455" spans="1:7">
      <c r="A455" s="915" t="s">
        <v>5189</v>
      </c>
      <c r="B455" s="916" t="s">
        <v>5205</v>
      </c>
      <c r="C455" s="916" t="s">
        <v>4555</v>
      </c>
      <c r="D455" s="915"/>
      <c r="E455" s="917">
        <v>10000</v>
      </c>
      <c r="F455" s="918"/>
      <c r="G455" s="918"/>
    </row>
    <row r="456" spans="1:7">
      <c r="A456" s="915" t="s">
        <v>5189</v>
      </c>
      <c r="B456" s="916" t="s">
        <v>5018</v>
      </c>
      <c r="C456" s="916" t="s">
        <v>5206</v>
      </c>
      <c r="D456" s="915"/>
      <c r="E456" s="917">
        <v>1403</v>
      </c>
      <c r="F456" s="918"/>
      <c r="G456" s="918"/>
    </row>
    <row r="457" spans="1:7">
      <c r="A457" s="915" t="s">
        <v>5189</v>
      </c>
      <c r="B457" s="916" t="s">
        <v>5018</v>
      </c>
      <c r="C457" s="916" t="s">
        <v>4983</v>
      </c>
      <c r="D457" s="915"/>
      <c r="E457" s="917">
        <v>6428</v>
      </c>
      <c r="F457" s="918"/>
      <c r="G457" s="918"/>
    </row>
    <row r="458" spans="1:7">
      <c r="A458" s="915" t="s">
        <v>5189</v>
      </c>
      <c r="B458" s="916" t="s">
        <v>5018</v>
      </c>
      <c r="C458" s="916" t="s">
        <v>5207</v>
      </c>
      <c r="D458" s="915"/>
      <c r="E458" s="917">
        <v>2545</v>
      </c>
      <c r="F458" s="918"/>
      <c r="G458" s="918"/>
    </row>
    <row r="459" spans="1:7" ht="22.5">
      <c r="A459" s="915" t="s">
        <v>5189</v>
      </c>
      <c r="B459" s="916" t="s">
        <v>5018</v>
      </c>
      <c r="C459" s="916" t="s">
        <v>4929</v>
      </c>
      <c r="D459" s="915"/>
      <c r="E459" s="917">
        <v>28350</v>
      </c>
      <c r="F459" s="918"/>
      <c r="G459" s="918"/>
    </row>
    <row r="460" spans="1:7">
      <c r="A460" s="915" t="s">
        <v>5189</v>
      </c>
      <c r="B460" s="916" t="s">
        <v>5018</v>
      </c>
      <c r="C460" s="916" t="s">
        <v>5098</v>
      </c>
      <c r="D460" s="915"/>
      <c r="E460" s="917">
        <v>1506</v>
      </c>
      <c r="F460" s="918"/>
      <c r="G460" s="918"/>
    </row>
    <row r="461" spans="1:7">
      <c r="A461" s="915" t="s">
        <v>5189</v>
      </c>
      <c r="B461" s="916" t="s">
        <v>5018</v>
      </c>
      <c r="C461" s="916" t="s">
        <v>5208</v>
      </c>
      <c r="D461" s="915"/>
      <c r="E461" s="917">
        <v>5785</v>
      </c>
      <c r="F461" s="918"/>
      <c r="G461" s="918"/>
    </row>
    <row r="462" spans="1:7">
      <c r="A462" s="915" t="s">
        <v>5189</v>
      </c>
      <c r="B462" s="916" t="s">
        <v>5018</v>
      </c>
      <c r="C462" s="916" t="s">
        <v>5209</v>
      </c>
      <c r="D462" s="915"/>
      <c r="E462" s="917">
        <v>1311</v>
      </c>
      <c r="F462" s="918"/>
      <c r="G462" s="918"/>
    </row>
    <row r="463" spans="1:7">
      <c r="A463" s="915" t="s">
        <v>5189</v>
      </c>
      <c r="B463" s="916" t="s">
        <v>5018</v>
      </c>
      <c r="C463" s="916" t="s">
        <v>4927</v>
      </c>
      <c r="D463" s="915"/>
      <c r="E463" s="917">
        <v>377</v>
      </c>
      <c r="F463" s="918"/>
      <c r="G463" s="918"/>
    </row>
    <row r="464" spans="1:7">
      <c r="A464" s="915" t="s">
        <v>5189</v>
      </c>
      <c r="B464" s="916" t="s">
        <v>5018</v>
      </c>
      <c r="C464" s="916" t="s">
        <v>5210</v>
      </c>
      <c r="D464" s="915"/>
      <c r="E464" s="917">
        <v>8463</v>
      </c>
      <c r="F464" s="918"/>
      <c r="G464" s="918"/>
    </row>
    <row r="465" spans="1:7">
      <c r="A465" s="915" t="s">
        <v>5189</v>
      </c>
      <c r="B465" s="916" t="s">
        <v>5018</v>
      </c>
      <c r="C465" s="916" t="s">
        <v>4910</v>
      </c>
      <c r="D465" s="915"/>
      <c r="E465" s="917">
        <v>756</v>
      </c>
      <c r="F465" s="918"/>
      <c r="G465" s="918"/>
    </row>
    <row r="466" spans="1:7">
      <c r="A466" s="915" t="s">
        <v>5189</v>
      </c>
      <c r="B466" s="916" t="s">
        <v>5018</v>
      </c>
      <c r="C466" s="916" t="s">
        <v>4925</v>
      </c>
      <c r="D466" s="915"/>
      <c r="E466" s="917">
        <v>800</v>
      </c>
      <c r="F466" s="918"/>
      <c r="G466" s="918"/>
    </row>
    <row r="467" spans="1:7">
      <c r="A467" s="915" t="s">
        <v>5189</v>
      </c>
      <c r="B467" s="916" t="s">
        <v>5018</v>
      </c>
      <c r="C467" s="916" t="s">
        <v>5037</v>
      </c>
      <c r="D467" s="915"/>
      <c r="E467" s="917">
        <v>2669</v>
      </c>
      <c r="F467" s="918"/>
      <c r="G467" s="918"/>
    </row>
    <row r="468" spans="1:7">
      <c r="A468" s="915" t="s">
        <v>5189</v>
      </c>
      <c r="B468" s="916" t="s">
        <v>5018</v>
      </c>
      <c r="C468" s="916" t="s">
        <v>4923</v>
      </c>
      <c r="D468" s="915"/>
      <c r="E468" s="917">
        <v>1908</v>
      </c>
      <c r="F468" s="918"/>
      <c r="G468" s="917">
        <v>1152137026</v>
      </c>
    </row>
    <row r="469" spans="1:7">
      <c r="A469" s="915" t="s">
        <v>3330</v>
      </c>
      <c r="B469" s="916" t="s">
        <v>4757</v>
      </c>
      <c r="C469" s="916" t="s">
        <v>4942</v>
      </c>
      <c r="D469" s="915"/>
      <c r="E469" s="918"/>
      <c r="F469" s="917">
        <v>1903000</v>
      </c>
      <c r="G469" s="918"/>
    </row>
    <row r="470" spans="1:7">
      <c r="A470" s="915" t="s">
        <v>3330</v>
      </c>
      <c r="B470" s="916" t="s">
        <v>4662</v>
      </c>
      <c r="C470" s="916" t="s">
        <v>4942</v>
      </c>
      <c r="D470" s="915"/>
      <c r="E470" s="918"/>
      <c r="F470" s="917">
        <v>77000</v>
      </c>
      <c r="G470" s="918"/>
    </row>
    <row r="471" spans="1:7">
      <c r="A471" s="915" t="s">
        <v>3330</v>
      </c>
      <c r="B471" s="916" t="s">
        <v>5211</v>
      </c>
      <c r="C471" s="916" t="s">
        <v>4933</v>
      </c>
      <c r="D471" s="915"/>
      <c r="E471" s="917">
        <v>173260</v>
      </c>
      <c r="F471" s="918"/>
      <c r="G471" s="918"/>
    </row>
    <row r="472" spans="1:7">
      <c r="A472" s="915" t="s">
        <v>3330</v>
      </c>
      <c r="B472" s="916" t="s">
        <v>5211</v>
      </c>
      <c r="C472" s="916" t="s">
        <v>4992</v>
      </c>
      <c r="D472" s="915"/>
      <c r="E472" s="918"/>
      <c r="F472" s="917">
        <v>173260</v>
      </c>
      <c r="G472" s="918"/>
    </row>
    <row r="473" spans="1:7">
      <c r="A473" s="915" t="s">
        <v>3330</v>
      </c>
      <c r="B473" s="916" t="s">
        <v>5212</v>
      </c>
      <c r="C473" s="916" t="s">
        <v>4917</v>
      </c>
      <c r="D473" s="915" t="s">
        <v>4918</v>
      </c>
      <c r="E473" s="917">
        <v>6700</v>
      </c>
      <c r="F473" s="918"/>
      <c r="G473" s="918"/>
    </row>
    <row r="474" spans="1:7">
      <c r="A474" s="915" t="s">
        <v>3330</v>
      </c>
      <c r="B474" s="916" t="s">
        <v>5212</v>
      </c>
      <c r="C474" s="916" t="s">
        <v>4992</v>
      </c>
      <c r="D474" s="915"/>
      <c r="E474" s="918"/>
      <c r="F474" s="917">
        <v>6700</v>
      </c>
      <c r="G474" s="918"/>
    </row>
    <row r="475" spans="1:7">
      <c r="A475" s="915" t="s">
        <v>3330</v>
      </c>
      <c r="B475" s="916" t="s">
        <v>5213</v>
      </c>
      <c r="C475" s="916" t="s">
        <v>4917</v>
      </c>
      <c r="D475" s="915" t="s">
        <v>4918</v>
      </c>
      <c r="E475" s="917">
        <v>85000</v>
      </c>
      <c r="F475" s="918"/>
      <c r="G475" s="918"/>
    </row>
    <row r="476" spans="1:7">
      <c r="A476" s="915" t="s">
        <v>3330</v>
      </c>
      <c r="B476" s="916" t="s">
        <v>5213</v>
      </c>
      <c r="C476" s="916" t="s">
        <v>4992</v>
      </c>
      <c r="D476" s="915"/>
      <c r="E476" s="918"/>
      <c r="F476" s="917">
        <v>85000</v>
      </c>
      <c r="G476" s="918"/>
    </row>
    <row r="477" spans="1:7">
      <c r="A477" s="915" t="s">
        <v>3330</v>
      </c>
      <c r="B477" s="916" t="s">
        <v>5214</v>
      </c>
      <c r="C477" s="916" t="s">
        <v>4917</v>
      </c>
      <c r="D477" s="915" t="s">
        <v>4918</v>
      </c>
      <c r="E477" s="917">
        <v>387660</v>
      </c>
      <c r="F477" s="918"/>
      <c r="G477" s="918"/>
    </row>
    <row r="478" spans="1:7">
      <c r="A478" s="915" t="s">
        <v>3330</v>
      </c>
      <c r="B478" s="916" t="s">
        <v>5214</v>
      </c>
      <c r="C478" s="916" t="s">
        <v>4933</v>
      </c>
      <c r="D478" s="915"/>
      <c r="E478" s="917">
        <v>58800</v>
      </c>
      <c r="F478" s="918"/>
      <c r="G478" s="918"/>
    </row>
    <row r="479" spans="1:7">
      <c r="A479" s="915" t="s">
        <v>3330</v>
      </c>
      <c r="B479" s="916" t="s">
        <v>5214</v>
      </c>
      <c r="C479" s="916" t="s">
        <v>4992</v>
      </c>
      <c r="D479" s="915"/>
      <c r="E479" s="918"/>
      <c r="F479" s="917">
        <v>446460</v>
      </c>
      <c r="G479" s="918"/>
    </row>
    <row r="480" spans="1:7">
      <c r="A480" s="915" t="s">
        <v>3330</v>
      </c>
      <c r="B480" s="916" t="s">
        <v>5215</v>
      </c>
      <c r="C480" s="916" t="s">
        <v>4917</v>
      </c>
      <c r="D480" s="915" t="s">
        <v>4918</v>
      </c>
      <c r="E480" s="917">
        <v>11800</v>
      </c>
      <c r="F480" s="918"/>
      <c r="G480" s="918"/>
    </row>
    <row r="481" spans="1:7">
      <c r="A481" s="915" t="s">
        <v>3330</v>
      </c>
      <c r="B481" s="916" t="s">
        <v>5215</v>
      </c>
      <c r="C481" s="916" t="s">
        <v>4992</v>
      </c>
      <c r="D481" s="915"/>
      <c r="E481" s="918"/>
      <c r="F481" s="917">
        <v>11800</v>
      </c>
      <c r="G481" s="918"/>
    </row>
    <row r="482" spans="1:7">
      <c r="A482" s="915" t="s">
        <v>3330</v>
      </c>
      <c r="B482" s="916" t="s">
        <v>5216</v>
      </c>
      <c r="C482" s="916" t="s">
        <v>4992</v>
      </c>
      <c r="D482" s="915"/>
      <c r="E482" s="918"/>
      <c r="F482" s="917">
        <v>200000</v>
      </c>
      <c r="G482" s="918"/>
    </row>
    <row r="483" spans="1:7">
      <c r="A483" s="915" t="s">
        <v>3330</v>
      </c>
      <c r="B483" s="916" t="s">
        <v>5217</v>
      </c>
      <c r="C483" s="916" t="s">
        <v>4917</v>
      </c>
      <c r="D483" s="915" t="s">
        <v>4918</v>
      </c>
      <c r="E483" s="917">
        <v>70000</v>
      </c>
      <c r="F483" s="918"/>
      <c r="G483" s="918"/>
    </row>
    <row r="484" spans="1:7">
      <c r="A484" s="915" t="s">
        <v>3330</v>
      </c>
      <c r="B484" s="916" t="s">
        <v>5217</v>
      </c>
      <c r="C484" s="916" t="s">
        <v>4999</v>
      </c>
      <c r="D484" s="915" t="s">
        <v>4897</v>
      </c>
      <c r="E484" s="918"/>
      <c r="F484" s="917">
        <v>70000</v>
      </c>
      <c r="G484" s="918"/>
    </row>
    <row r="485" spans="1:7">
      <c r="A485" s="915" t="s">
        <v>3330</v>
      </c>
      <c r="B485" s="916" t="s">
        <v>5218</v>
      </c>
      <c r="C485" s="916" t="s">
        <v>4257</v>
      </c>
      <c r="D485" s="915"/>
      <c r="E485" s="917">
        <v>121500</v>
      </c>
      <c r="F485" s="918"/>
      <c r="G485" s="918"/>
    </row>
    <row r="486" spans="1:7">
      <c r="A486" s="915" t="s">
        <v>3330</v>
      </c>
      <c r="B486" s="916" t="s">
        <v>5218</v>
      </c>
      <c r="C486" s="916" t="s">
        <v>4999</v>
      </c>
      <c r="D486" s="915" t="s">
        <v>4897</v>
      </c>
      <c r="E486" s="918"/>
      <c r="F486" s="917">
        <v>121500</v>
      </c>
      <c r="G486" s="918"/>
    </row>
    <row r="487" spans="1:7">
      <c r="A487" s="915" t="s">
        <v>3330</v>
      </c>
      <c r="B487" s="916" t="s">
        <v>5219</v>
      </c>
      <c r="C487" s="916" t="s">
        <v>4917</v>
      </c>
      <c r="D487" s="915" t="s">
        <v>4918</v>
      </c>
      <c r="E487" s="917">
        <v>38000</v>
      </c>
      <c r="F487" s="918"/>
      <c r="G487" s="918"/>
    </row>
    <row r="488" spans="1:7">
      <c r="A488" s="915" t="s">
        <v>3330</v>
      </c>
      <c r="B488" s="916" t="s">
        <v>5219</v>
      </c>
      <c r="C488" s="916" t="s">
        <v>4896</v>
      </c>
      <c r="D488" s="915" t="s">
        <v>4897</v>
      </c>
      <c r="E488" s="918"/>
      <c r="F488" s="917">
        <v>38000</v>
      </c>
      <c r="G488" s="918"/>
    </row>
    <row r="489" spans="1:7">
      <c r="A489" s="915" t="s">
        <v>3330</v>
      </c>
      <c r="B489" s="916" t="s">
        <v>5220</v>
      </c>
      <c r="C489" s="916" t="s">
        <v>4917</v>
      </c>
      <c r="D489" s="915" t="s">
        <v>4918</v>
      </c>
      <c r="E489" s="917">
        <v>45000</v>
      </c>
      <c r="F489" s="918"/>
      <c r="G489" s="918"/>
    </row>
    <row r="490" spans="1:7">
      <c r="A490" s="915" t="s">
        <v>3330</v>
      </c>
      <c r="B490" s="916" t="s">
        <v>5220</v>
      </c>
      <c r="C490" s="916" t="s">
        <v>4896</v>
      </c>
      <c r="D490" s="915" t="s">
        <v>4897</v>
      </c>
      <c r="E490" s="918"/>
      <c r="F490" s="917">
        <v>45000</v>
      </c>
      <c r="G490" s="918"/>
    </row>
    <row r="491" spans="1:7">
      <c r="A491" s="915" t="s">
        <v>3330</v>
      </c>
      <c r="B491" s="916" t="s">
        <v>5221</v>
      </c>
      <c r="C491" s="916" t="s">
        <v>4903</v>
      </c>
      <c r="D491" s="915"/>
      <c r="E491" s="918"/>
      <c r="F491" s="917">
        <v>15800</v>
      </c>
      <c r="G491" s="918"/>
    </row>
    <row r="492" spans="1:7">
      <c r="A492" s="915" t="s">
        <v>3330</v>
      </c>
      <c r="B492" s="916" t="s">
        <v>5222</v>
      </c>
      <c r="C492" s="916" t="s">
        <v>4951</v>
      </c>
      <c r="D492" s="915"/>
      <c r="E492" s="917">
        <v>8400</v>
      </c>
      <c r="F492" s="918"/>
      <c r="G492" s="918"/>
    </row>
    <row r="493" spans="1:7">
      <c r="A493" s="995" t="s">
        <v>3589</v>
      </c>
      <c r="B493" s="995" t="s">
        <v>3590</v>
      </c>
      <c r="C493" s="995" t="s">
        <v>3592</v>
      </c>
      <c r="D493" s="995" t="s">
        <v>3593</v>
      </c>
      <c r="E493" s="995" t="s">
        <v>3594</v>
      </c>
      <c r="F493" s="995" t="s">
        <v>3030</v>
      </c>
      <c r="G493" s="995" t="s">
        <v>3595</v>
      </c>
    </row>
    <row r="494" spans="1:7">
      <c r="A494" s="915" t="s">
        <v>3330</v>
      </c>
      <c r="B494" s="916" t="s">
        <v>5223</v>
      </c>
      <c r="C494" s="916" t="s">
        <v>4257</v>
      </c>
      <c r="D494" s="915"/>
      <c r="E494" s="917">
        <v>9662</v>
      </c>
      <c r="F494" s="918"/>
      <c r="G494" s="918"/>
    </row>
    <row r="495" spans="1:7">
      <c r="A495" s="915" t="s">
        <v>3330</v>
      </c>
      <c r="B495" s="916" t="s">
        <v>5223</v>
      </c>
      <c r="C495" s="916" t="s">
        <v>4898</v>
      </c>
      <c r="D495" s="915"/>
      <c r="E495" s="918"/>
      <c r="F495" s="917">
        <v>9662</v>
      </c>
      <c r="G495" s="918"/>
    </row>
    <row r="496" spans="1:7">
      <c r="A496" s="915" t="s">
        <v>3330</v>
      </c>
      <c r="B496" s="916" t="s">
        <v>5224</v>
      </c>
      <c r="C496" s="916" t="s">
        <v>4257</v>
      </c>
      <c r="D496" s="915"/>
      <c r="E496" s="917">
        <v>2291</v>
      </c>
      <c r="F496" s="918"/>
      <c r="G496" s="918"/>
    </row>
    <row r="497" spans="1:7">
      <c r="A497" s="915" t="s">
        <v>3330</v>
      </c>
      <c r="B497" s="916" t="s">
        <v>5224</v>
      </c>
      <c r="C497" s="916" t="s">
        <v>4912</v>
      </c>
      <c r="D497" s="915"/>
      <c r="E497" s="918"/>
      <c r="F497" s="917">
        <v>2291</v>
      </c>
      <c r="G497" s="918"/>
    </row>
    <row r="498" spans="1:7">
      <c r="A498" s="915" t="s">
        <v>3330</v>
      </c>
      <c r="B498" s="916" t="s">
        <v>5225</v>
      </c>
      <c r="C498" s="916" t="s">
        <v>4257</v>
      </c>
      <c r="D498" s="915"/>
      <c r="E498" s="917">
        <v>15137</v>
      </c>
      <c r="F498" s="918"/>
      <c r="G498" s="918"/>
    </row>
    <row r="499" spans="1:7">
      <c r="A499" s="915" t="s">
        <v>3330</v>
      </c>
      <c r="B499" s="916" t="s">
        <v>5225</v>
      </c>
      <c r="C499" s="916" t="s">
        <v>5195</v>
      </c>
      <c r="D499" s="915"/>
      <c r="E499" s="918"/>
      <c r="F499" s="917">
        <v>15137</v>
      </c>
      <c r="G499" s="918"/>
    </row>
    <row r="500" spans="1:7">
      <c r="A500" s="915" t="s">
        <v>3330</v>
      </c>
      <c r="B500" s="916" t="s">
        <v>5226</v>
      </c>
      <c r="C500" s="916" t="s">
        <v>4257</v>
      </c>
      <c r="D500" s="915"/>
      <c r="E500" s="917">
        <v>31758</v>
      </c>
      <c r="F500" s="918"/>
      <c r="G500" s="918"/>
    </row>
    <row r="501" spans="1:7" ht="22.5">
      <c r="A501" s="915" t="s">
        <v>3330</v>
      </c>
      <c r="B501" s="916" t="s">
        <v>5226</v>
      </c>
      <c r="C501" s="916" t="s">
        <v>5052</v>
      </c>
      <c r="D501" s="915"/>
      <c r="E501" s="918"/>
      <c r="F501" s="917">
        <v>31758</v>
      </c>
      <c r="G501" s="918"/>
    </row>
    <row r="502" spans="1:7">
      <c r="A502" s="915" t="s">
        <v>3330</v>
      </c>
      <c r="B502" s="916" t="s">
        <v>5227</v>
      </c>
      <c r="C502" s="916" t="s">
        <v>4257</v>
      </c>
      <c r="D502" s="915"/>
      <c r="E502" s="917">
        <v>37574</v>
      </c>
      <c r="F502" s="918"/>
      <c r="G502" s="918"/>
    </row>
    <row r="503" spans="1:7">
      <c r="A503" s="915" t="s">
        <v>3330</v>
      </c>
      <c r="B503" s="916" t="s">
        <v>5227</v>
      </c>
      <c r="C503" s="916" t="s">
        <v>5050</v>
      </c>
      <c r="D503" s="915"/>
      <c r="E503" s="918"/>
      <c r="F503" s="917">
        <v>37574</v>
      </c>
      <c r="G503" s="918"/>
    </row>
    <row r="504" spans="1:7">
      <c r="A504" s="915" t="s">
        <v>3330</v>
      </c>
      <c r="B504" s="916" t="s">
        <v>5228</v>
      </c>
      <c r="C504" s="916" t="s">
        <v>4257</v>
      </c>
      <c r="D504" s="915"/>
      <c r="E504" s="917">
        <v>5014</v>
      </c>
      <c r="F504" s="918"/>
      <c r="G504" s="918"/>
    </row>
    <row r="505" spans="1:7">
      <c r="A505" s="915" t="s">
        <v>3330</v>
      </c>
      <c r="B505" s="916" t="s">
        <v>5228</v>
      </c>
      <c r="C505" s="916" t="s">
        <v>5203</v>
      </c>
      <c r="D505" s="915"/>
      <c r="E505" s="918"/>
      <c r="F505" s="917">
        <v>5014</v>
      </c>
      <c r="G505" s="918"/>
    </row>
    <row r="506" spans="1:7">
      <c r="A506" s="915" t="s">
        <v>3330</v>
      </c>
      <c r="B506" s="916" t="s">
        <v>5229</v>
      </c>
      <c r="C506" s="916" t="s">
        <v>4983</v>
      </c>
      <c r="D506" s="915"/>
      <c r="E506" s="917">
        <v>150</v>
      </c>
      <c r="F506" s="918"/>
      <c r="G506" s="918"/>
    </row>
    <row r="507" spans="1:7">
      <c r="A507" s="915" t="s">
        <v>3330</v>
      </c>
      <c r="B507" s="916" t="s">
        <v>5229</v>
      </c>
      <c r="C507" s="916" t="s">
        <v>4933</v>
      </c>
      <c r="D507" s="915"/>
      <c r="E507" s="918"/>
      <c r="F507" s="917">
        <v>150</v>
      </c>
      <c r="G507" s="918"/>
    </row>
    <row r="508" spans="1:7">
      <c r="A508" s="915" t="s">
        <v>3330</v>
      </c>
      <c r="B508" s="916" t="s">
        <v>5230</v>
      </c>
      <c r="C508" s="916" t="s">
        <v>4257</v>
      </c>
      <c r="D508" s="915"/>
      <c r="E508" s="917">
        <v>300000</v>
      </c>
      <c r="F508" s="918"/>
      <c r="G508" s="918"/>
    </row>
    <row r="509" spans="1:7">
      <c r="A509" s="915" t="s">
        <v>3330</v>
      </c>
      <c r="B509" s="916" t="s">
        <v>5231</v>
      </c>
      <c r="C509" s="916" t="s">
        <v>4983</v>
      </c>
      <c r="D509" s="915"/>
      <c r="E509" s="918"/>
      <c r="F509" s="917">
        <v>300000</v>
      </c>
      <c r="G509" s="918"/>
    </row>
    <row r="510" spans="1:7" ht="22.5">
      <c r="A510" s="915" t="s">
        <v>3330</v>
      </c>
      <c r="B510" s="916" t="s">
        <v>5232</v>
      </c>
      <c r="C510" s="916" t="s">
        <v>4940</v>
      </c>
      <c r="D510" s="915"/>
      <c r="E510" s="918"/>
      <c r="F510" s="917">
        <v>550000</v>
      </c>
      <c r="G510" s="918"/>
    </row>
    <row r="511" spans="1:7" ht="22.5">
      <c r="A511" s="915" t="s">
        <v>3330</v>
      </c>
      <c r="B511" s="916" t="s">
        <v>5232</v>
      </c>
      <c r="C511" s="916" t="s">
        <v>4933</v>
      </c>
      <c r="D511" s="915"/>
      <c r="E511" s="917">
        <v>242000</v>
      </c>
      <c r="F511" s="918"/>
      <c r="G511" s="918"/>
    </row>
    <row r="512" spans="1:7" ht="22.5">
      <c r="A512" s="915" t="s">
        <v>3330</v>
      </c>
      <c r="B512" s="916" t="s">
        <v>5232</v>
      </c>
      <c r="C512" s="916" t="s">
        <v>4940</v>
      </c>
      <c r="D512" s="915"/>
      <c r="E512" s="918"/>
      <c r="F512" s="917">
        <v>242000</v>
      </c>
      <c r="G512" s="918"/>
    </row>
    <row r="513" spans="1:7">
      <c r="A513" s="915" t="s">
        <v>3330</v>
      </c>
      <c r="B513" s="916" t="s">
        <v>5233</v>
      </c>
      <c r="C513" s="916" t="s">
        <v>4257</v>
      </c>
      <c r="D513" s="915"/>
      <c r="E513" s="917">
        <v>10000</v>
      </c>
      <c r="F513" s="918"/>
      <c r="G513" s="918"/>
    </row>
    <row r="514" spans="1:7">
      <c r="A514" s="915" t="s">
        <v>3330</v>
      </c>
      <c r="B514" s="916" t="s">
        <v>5233</v>
      </c>
      <c r="C514" s="916" t="s">
        <v>4940</v>
      </c>
      <c r="D514" s="915"/>
      <c r="E514" s="918"/>
      <c r="F514" s="917">
        <v>10000</v>
      </c>
      <c r="G514" s="918"/>
    </row>
    <row r="515" spans="1:7">
      <c r="A515" s="915" t="s">
        <v>3330</v>
      </c>
      <c r="B515" s="916" t="s">
        <v>5233</v>
      </c>
      <c r="C515" s="916" t="s">
        <v>4933</v>
      </c>
      <c r="D515" s="915"/>
      <c r="E515" s="917">
        <v>171500</v>
      </c>
      <c r="F515" s="918"/>
      <c r="G515" s="918"/>
    </row>
    <row r="516" spans="1:7">
      <c r="A516" s="915" t="s">
        <v>3330</v>
      </c>
      <c r="B516" s="916" t="s">
        <v>5233</v>
      </c>
      <c r="C516" s="916" t="s">
        <v>4940</v>
      </c>
      <c r="D516" s="915"/>
      <c r="E516" s="918"/>
      <c r="F516" s="917">
        <v>171500</v>
      </c>
      <c r="G516" s="918"/>
    </row>
    <row r="517" spans="1:7">
      <c r="A517" s="915" t="s">
        <v>3330</v>
      </c>
      <c r="B517" s="916" t="s">
        <v>5234</v>
      </c>
      <c r="C517" s="916" t="s">
        <v>4933</v>
      </c>
      <c r="D517" s="915"/>
      <c r="E517" s="917">
        <v>58000</v>
      </c>
      <c r="F517" s="918"/>
      <c r="G517" s="918"/>
    </row>
    <row r="518" spans="1:7">
      <c r="A518" s="915" t="s">
        <v>3330</v>
      </c>
      <c r="B518" s="916" t="s">
        <v>5234</v>
      </c>
      <c r="C518" s="916" t="s">
        <v>4940</v>
      </c>
      <c r="D518" s="915"/>
      <c r="E518" s="918"/>
      <c r="F518" s="917">
        <v>58000</v>
      </c>
      <c r="G518" s="918"/>
    </row>
    <row r="519" spans="1:7">
      <c r="A519" s="915" t="s">
        <v>3330</v>
      </c>
      <c r="B519" s="916" t="s">
        <v>5235</v>
      </c>
      <c r="C519" s="916" t="s">
        <v>4933</v>
      </c>
      <c r="D519" s="915"/>
      <c r="E519" s="917">
        <v>141100</v>
      </c>
      <c r="F519" s="918"/>
      <c r="G519" s="918"/>
    </row>
    <row r="520" spans="1:7">
      <c r="A520" s="915" t="s">
        <v>3330</v>
      </c>
      <c r="B520" s="916" t="s">
        <v>5235</v>
      </c>
      <c r="C520" s="916" t="s">
        <v>5037</v>
      </c>
      <c r="D520" s="915"/>
      <c r="E520" s="918"/>
      <c r="F520" s="917">
        <v>141100</v>
      </c>
      <c r="G520" s="918"/>
    </row>
    <row r="521" spans="1:7">
      <c r="A521" s="915" t="s">
        <v>3330</v>
      </c>
      <c r="B521" s="916" t="s">
        <v>5236</v>
      </c>
      <c r="C521" s="916" t="s">
        <v>4935</v>
      </c>
      <c r="D521" s="915" t="s">
        <v>4897</v>
      </c>
      <c r="E521" s="918"/>
      <c r="F521" s="917">
        <v>594000</v>
      </c>
      <c r="G521" s="918"/>
    </row>
    <row r="522" spans="1:7">
      <c r="A522" s="915" t="s">
        <v>3330</v>
      </c>
      <c r="B522" s="916" t="s">
        <v>5237</v>
      </c>
      <c r="C522" s="916" t="s">
        <v>4935</v>
      </c>
      <c r="D522" s="915" t="s">
        <v>4897</v>
      </c>
      <c r="E522" s="918"/>
      <c r="F522" s="917">
        <v>286800</v>
      </c>
      <c r="G522" s="918"/>
    </row>
    <row r="523" spans="1:7">
      <c r="A523" s="915" t="s">
        <v>3330</v>
      </c>
      <c r="B523" s="916" t="s">
        <v>5237</v>
      </c>
      <c r="C523" s="916" t="s">
        <v>4949</v>
      </c>
      <c r="D523" s="915"/>
      <c r="E523" s="917">
        <v>13200</v>
      </c>
      <c r="F523" s="918"/>
      <c r="G523" s="918"/>
    </row>
    <row r="524" spans="1:7">
      <c r="A524" s="915" t="s">
        <v>3330</v>
      </c>
      <c r="B524" s="916" t="s">
        <v>5237</v>
      </c>
      <c r="C524" s="916" t="s">
        <v>4935</v>
      </c>
      <c r="D524" s="915" t="s">
        <v>4897</v>
      </c>
      <c r="E524" s="918"/>
      <c r="F524" s="917">
        <v>13200</v>
      </c>
      <c r="G524" s="918"/>
    </row>
    <row r="525" spans="1:7">
      <c r="A525" s="915" t="s">
        <v>3330</v>
      </c>
      <c r="B525" s="916" t="s">
        <v>5214</v>
      </c>
      <c r="C525" s="916" t="s">
        <v>4935</v>
      </c>
      <c r="D525" s="915" t="s">
        <v>4897</v>
      </c>
      <c r="E525" s="918"/>
      <c r="F525" s="917">
        <v>10800</v>
      </c>
      <c r="G525" s="918"/>
    </row>
    <row r="526" spans="1:7">
      <c r="A526" s="915" t="s">
        <v>3330</v>
      </c>
      <c r="B526" s="916" t="s">
        <v>5238</v>
      </c>
      <c r="C526" s="916" t="s">
        <v>4935</v>
      </c>
      <c r="D526" s="915" t="s">
        <v>4897</v>
      </c>
      <c r="E526" s="918"/>
      <c r="F526" s="917">
        <v>1806840</v>
      </c>
      <c r="G526" s="918"/>
    </row>
    <row r="527" spans="1:7">
      <c r="A527" s="915" t="s">
        <v>3330</v>
      </c>
      <c r="B527" s="916" t="s">
        <v>5238</v>
      </c>
      <c r="C527" s="916" t="s">
        <v>4949</v>
      </c>
      <c r="D527" s="915"/>
      <c r="E527" s="917">
        <v>83160</v>
      </c>
      <c r="F527" s="918"/>
      <c r="G527" s="918"/>
    </row>
    <row r="528" spans="1:7">
      <c r="A528" s="915" t="s">
        <v>3330</v>
      </c>
      <c r="B528" s="916" t="s">
        <v>5238</v>
      </c>
      <c r="C528" s="916" t="s">
        <v>4935</v>
      </c>
      <c r="D528" s="915" t="s">
        <v>4897</v>
      </c>
      <c r="E528" s="918"/>
      <c r="F528" s="917">
        <v>83160</v>
      </c>
      <c r="G528" s="918"/>
    </row>
    <row r="529" spans="1:7">
      <c r="A529" s="915" t="s">
        <v>3330</v>
      </c>
      <c r="B529" s="916" t="s">
        <v>4289</v>
      </c>
      <c r="C529" s="916" t="s">
        <v>4257</v>
      </c>
      <c r="D529" s="915"/>
      <c r="E529" s="918"/>
      <c r="F529" s="917">
        <v>176170</v>
      </c>
      <c r="G529" s="918"/>
    </row>
    <row r="530" spans="1:7">
      <c r="A530" s="915" t="s">
        <v>3330</v>
      </c>
      <c r="B530" s="916" t="s">
        <v>5239</v>
      </c>
      <c r="C530" s="916" t="s">
        <v>4957</v>
      </c>
      <c r="D530" s="915"/>
      <c r="E530" s="917">
        <v>210458</v>
      </c>
      <c r="F530" s="918"/>
      <c r="G530" s="918"/>
    </row>
    <row r="531" spans="1:7">
      <c r="A531" s="915" t="s">
        <v>3330</v>
      </c>
      <c r="B531" s="916" t="s">
        <v>5240</v>
      </c>
      <c r="C531" s="916" t="s">
        <v>4957</v>
      </c>
      <c r="D531" s="915"/>
      <c r="E531" s="917">
        <v>210458</v>
      </c>
      <c r="F531" s="918"/>
      <c r="G531" s="918"/>
    </row>
    <row r="532" spans="1:7" ht="22.5">
      <c r="A532" s="915" t="s">
        <v>3330</v>
      </c>
      <c r="B532" s="916" t="s">
        <v>5241</v>
      </c>
      <c r="C532" s="916" t="s">
        <v>4957</v>
      </c>
      <c r="D532" s="915"/>
      <c r="E532" s="917">
        <v>419810</v>
      </c>
      <c r="F532" s="918"/>
      <c r="G532" s="918"/>
    </row>
    <row r="533" spans="1:7">
      <c r="A533" s="915" t="s">
        <v>3330</v>
      </c>
      <c r="B533" s="916" t="s">
        <v>5242</v>
      </c>
      <c r="C533" s="916" t="s">
        <v>4957</v>
      </c>
      <c r="D533" s="915"/>
      <c r="E533" s="917">
        <v>387596</v>
      </c>
      <c r="F533" s="918"/>
      <c r="G533" s="918"/>
    </row>
    <row r="534" spans="1:7">
      <c r="A534" s="915" t="s">
        <v>3330</v>
      </c>
      <c r="B534" s="916" t="s">
        <v>5243</v>
      </c>
      <c r="C534" s="916" t="s">
        <v>4957</v>
      </c>
      <c r="D534" s="915"/>
      <c r="E534" s="917">
        <v>290697</v>
      </c>
      <c r="F534" s="918"/>
      <c r="G534" s="918"/>
    </row>
    <row r="535" spans="1:7">
      <c r="A535" s="915" t="s">
        <v>3330</v>
      </c>
      <c r="B535" s="916" t="s">
        <v>5244</v>
      </c>
      <c r="C535" s="916" t="s">
        <v>4957</v>
      </c>
      <c r="D535" s="915"/>
      <c r="E535" s="917">
        <v>387596</v>
      </c>
      <c r="F535" s="918"/>
      <c r="G535" s="918"/>
    </row>
    <row r="536" spans="1:7">
      <c r="A536" s="915" t="s">
        <v>3330</v>
      </c>
      <c r="B536" s="916" t="s">
        <v>5245</v>
      </c>
      <c r="C536" s="916" t="s">
        <v>4957</v>
      </c>
      <c r="D536" s="915"/>
      <c r="E536" s="917">
        <v>387595</v>
      </c>
      <c r="F536" s="918"/>
      <c r="G536" s="918"/>
    </row>
    <row r="537" spans="1:7">
      <c r="A537" s="995" t="s">
        <v>3589</v>
      </c>
      <c r="B537" s="995" t="s">
        <v>3590</v>
      </c>
      <c r="C537" s="995" t="s">
        <v>3592</v>
      </c>
      <c r="D537" s="995" t="s">
        <v>3593</v>
      </c>
      <c r="E537" s="995" t="s">
        <v>3594</v>
      </c>
      <c r="F537" s="995" t="s">
        <v>3030</v>
      </c>
      <c r="G537" s="995" t="s">
        <v>3595</v>
      </c>
    </row>
    <row r="538" spans="1:7">
      <c r="A538" s="915" t="s">
        <v>3330</v>
      </c>
      <c r="B538" s="916" t="s">
        <v>5246</v>
      </c>
      <c r="C538" s="916" t="s">
        <v>4957</v>
      </c>
      <c r="D538" s="915"/>
      <c r="E538" s="917">
        <v>387595</v>
      </c>
      <c r="F538" s="918"/>
      <c r="G538" s="918"/>
    </row>
    <row r="539" spans="1:7">
      <c r="A539" s="915" t="s">
        <v>3330</v>
      </c>
      <c r="B539" s="916" t="s">
        <v>5247</v>
      </c>
      <c r="C539" s="916" t="s">
        <v>4957</v>
      </c>
      <c r="D539" s="915"/>
      <c r="E539" s="917">
        <v>329456</v>
      </c>
      <c r="F539" s="918"/>
      <c r="G539" s="918"/>
    </row>
    <row r="540" spans="1:7">
      <c r="A540" s="915" t="s">
        <v>3330</v>
      </c>
      <c r="B540" s="916" t="s">
        <v>5248</v>
      </c>
      <c r="C540" s="916" t="s">
        <v>4957</v>
      </c>
      <c r="D540" s="915"/>
      <c r="E540" s="917">
        <v>96899</v>
      </c>
      <c r="F540" s="918"/>
      <c r="G540" s="918"/>
    </row>
    <row r="541" spans="1:7">
      <c r="A541" s="915" t="s">
        <v>3330</v>
      </c>
      <c r="B541" s="916" t="s">
        <v>5249</v>
      </c>
      <c r="C541" s="916" t="s">
        <v>4957</v>
      </c>
      <c r="D541" s="915"/>
      <c r="E541" s="917">
        <v>387596</v>
      </c>
      <c r="F541" s="918"/>
      <c r="G541" s="918"/>
    </row>
    <row r="542" spans="1:7">
      <c r="A542" s="915" t="s">
        <v>3330</v>
      </c>
      <c r="B542" s="916" t="s">
        <v>5250</v>
      </c>
      <c r="C542" s="916" t="s">
        <v>4957</v>
      </c>
      <c r="D542" s="915"/>
      <c r="E542" s="917">
        <v>193798</v>
      </c>
      <c r="F542" s="918"/>
      <c r="G542" s="918"/>
    </row>
    <row r="543" spans="1:7">
      <c r="A543" s="915" t="s">
        <v>3330</v>
      </c>
      <c r="B543" s="916" t="s">
        <v>5251</v>
      </c>
      <c r="C543" s="916" t="s">
        <v>4957</v>
      </c>
      <c r="D543" s="915"/>
      <c r="E543" s="917">
        <v>387595</v>
      </c>
      <c r="F543" s="918"/>
      <c r="G543" s="918"/>
    </row>
    <row r="544" spans="1:7">
      <c r="A544" s="915" t="s">
        <v>3330</v>
      </c>
      <c r="B544" s="916" t="s">
        <v>5252</v>
      </c>
      <c r="C544" s="916" t="s">
        <v>4957</v>
      </c>
      <c r="D544" s="915"/>
      <c r="E544" s="917">
        <v>387595</v>
      </c>
      <c r="F544" s="918"/>
      <c r="G544" s="918"/>
    </row>
    <row r="545" spans="1:7">
      <c r="A545" s="915" t="s">
        <v>3330</v>
      </c>
      <c r="B545" s="916" t="s">
        <v>5253</v>
      </c>
      <c r="C545" s="916" t="s">
        <v>4957</v>
      </c>
      <c r="D545" s="915"/>
      <c r="E545" s="917">
        <v>193798</v>
      </c>
      <c r="F545" s="918"/>
      <c r="G545" s="918"/>
    </row>
    <row r="546" spans="1:7">
      <c r="A546" s="915" t="s">
        <v>3330</v>
      </c>
      <c r="B546" s="916" t="s">
        <v>5254</v>
      </c>
      <c r="C546" s="916" t="s">
        <v>4957</v>
      </c>
      <c r="D546" s="915"/>
      <c r="E546" s="917">
        <v>387595</v>
      </c>
      <c r="F546" s="918"/>
      <c r="G546" s="918"/>
    </row>
    <row r="547" spans="1:7">
      <c r="A547" s="915" t="s">
        <v>3330</v>
      </c>
      <c r="B547" s="916" t="s">
        <v>5255</v>
      </c>
      <c r="C547" s="916" t="s">
        <v>4957</v>
      </c>
      <c r="D547" s="915"/>
      <c r="E547" s="917">
        <v>387595</v>
      </c>
      <c r="F547" s="918"/>
      <c r="G547" s="918"/>
    </row>
    <row r="548" spans="1:7">
      <c r="A548" s="915" t="s">
        <v>3330</v>
      </c>
      <c r="B548" s="916" t="s">
        <v>5256</v>
      </c>
      <c r="C548" s="916" t="s">
        <v>4957</v>
      </c>
      <c r="D548" s="915"/>
      <c r="E548" s="917">
        <v>387595</v>
      </c>
      <c r="F548" s="918"/>
      <c r="G548" s="918"/>
    </row>
    <row r="549" spans="1:7">
      <c r="A549" s="915" t="s">
        <v>3330</v>
      </c>
      <c r="B549" s="916" t="s">
        <v>5257</v>
      </c>
      <c r="C549" s="916" t="s">
        <v>4957</v>
      </c>
      <c r="D549" s="915"/>
      <c r="E549" s="917">
        <v>387596</v>
      </c>
      <c r="F549" s="918"/>
      <c r="G549" s="918"/>
    </row>
    <row r="550" spans="1:7">
      <c r="A550" s="915" t="s">
        <v>3330</v>
      </c>
      <c r="B550" s="916" t="s">
        <v>5258</v>
      </c>
      <c r="C550" s="916" t="s">
        <v>4582</v>
      </c>
      <c r="D550" s="915"/>
      <c r="E550" s="917">
        <v>30000</v>
      </c>
      <c r="F550" s="918"/>
      <c r="G550" s="918"/>
    </row>
    <row r="551" spans="1:7">
      <c r="A551" s="915" t="s">
        <v>3330</v>
      </c>
      <c r="B551" s="916" t="s">
        <v>5259</v>
      </c>
      <c r="C551" s="916" t="s">
        <v>4563</v>
      </c>
      <c r="D551" s="915"/>
      <c r="E551" s="917">
        <v>10000</v>
      </c>
      <c r="F551" s="918"/>
      <c r="G551" s="918"/>
    </row>
    <row r="552" spans="1:7">
      <c r="A552" s="915" t="s">
        <v>3330</v>
      </c>
      <c r="B552" s="916" t="s">
        <v>5260</v>
      </c>
      <c r="C552" s="916" t="s">
        <v>4983</v>
      </c>
      <c r="D552" s="915"/>
      <c r="E552" s="917">
        <v>393</v>
      </c>
      <c r="F552" s="918"/>
      <c r="G552" s="918"/>
    </row>
    <row r="553" spans="1:7">
      <c r="A553" s="915" t="s">
        <v>3330</v>
      </c>
      <c r="B553" s="916" t="s">
        <v>5261</v>
      </c>
      <c r="C553" s="916" t="s">
        <v>4983</v>
      </c>
      <c r="D553" s="915"/>
      <c r="E553" s="917">
        <v>6790</v>
      </c>
      <c r="F553" s="918"/>
      <c r="G553" s="918"/>
    </row>
    <row r="554" spans="1:7">
      <c r="A554" s="915" t="s">
        <v>3330</v>
      </c>
      <c r="B554" s="916" t="s">
        <v>5261</v>
      </c>
      <c r="C554" s="916" t="s">
        <v>4983</v>
      </c>
      <c r="D554" s="915"/>
      <c r="E554" s="917">
        <v>13161</v>
      </c>
      <c r="F554" s="918"/>
      <c r="G554" s="918"/>
    </row>
    <row r="555" spans="1:7">
      <c r="A555" s="915" t="s">
        <v>3330</v>
      </c>
      <c r="B555" s="916" t="s">
        <v>5262</v>
      </c>
      <c r="C555" s="916" t="s">
        <v>4906</v>
      </c>
      <c r="D555" s="915"/>
      <c r="E555" s="917">
        <v>10000</v>
      </c>
      <c r="F555" s="918"/>
      <c r="G555" s="918"/>
    </row>
    <row r="556" spans="1:7">
      <c r="A556" s="915" t="s">
        <v>3330</v>
      </c>
      <c r="B556" s="916" t="s">
        <v>5263</v>
      </c>
      <c r="C556" s="916" t="s">
        <v>5264</v>
      </c>
      <c r="D556" s="915"/>
      <c r="E556" s="917">
        <v>10000</v>
      </c>
      <c r="F556" s="918"/>
      <c r="G556" s="918"/>
    </row>
    <row r="557" spans="1:7">
      <c r="A557" s="915" t="s">
        <v>3330</v>
      </c>
      <c r="B557" s="916" t="s">
        <v>5265</v>
      </c>
      <c r="C557" s="916" t="s">
        <v>4960</v>
      </c>
      <c r="D557" s="915"/>
      <c r="E557" s="917">
        <v>5000000</v>
      </c>
      <c r="F557" s="918"/>
      <c r="G557" s="918"/>
    </row>
    <row r="558" spans="1:7">
      <c r="A558" s="915" t="s">
        <v>3330</v>
      </c>
      <c r="B558" s="916" t="s">
        <v>4531</v>
      </c>
      <c r="C558" s="916" t="s">
        <v>4401</v>
      </c>
      <c r="D558" s="915"/>
      <c r="E558" s="917">
        <v>9760</v>
      </c>
      <c r="F558" s="918"/>
      <c r="G558" s="918"/>
    </row>
    <row r="559" spans="1:7">
      <c r="A559" s="915" t="s">
        <v>3330</v>
      </c>
      <c r="B559" s="916" t="s">
        <v>5266</v>
      </c>
      <c r="C559" s="916" t="s">
        <v>5267</v>
      </c>
      <c r="D559" s="915"/>
      <c r="E559" s="917">
        <v>50000</v>
      </c>
      <c r="F559" s="918"/>
      <c r="G559" s="918"/>
    </row>
    <row r="560" spans="1:7">
      <c r="A560" s="915" t="s">
        <v>3330</v>
      </c>
      <c r="B560" s="916" t="s">
        <v>5268</v>
      </c>
      <c r="C560" s="916" t="s">
        <v>5017</v>
      </c>
      <c r="D560" s="915"/>
      <c r="E560" s="917">
        <v>5000</v>
      </c>
      <c r="F560" s="918"/>
      <c r="G560" s="918"/>
    </row>
    <row r="561" spans="1:7">
      <c r="A561" s="915" t="s">
        <v>3330</v>
      </c>
      <c r="B561" s="916" t="s">
        <v>5269</v>
      </c>
      <c r="C561" s="916" t="s">
        <v>4561</v>
      </c>
      <c r="D561" s="915"/>
      <c r="E561" s="917">
        <v>10000</v>
      </c>
      <c r="F561" s="918"/>
      <c r="G561" s="918"/>
    </row>
    <row r="562" spans="1:7">
      <c r="A562" s="915" t="s">
        <v>3330</v>
      </c>
      <c r="B562" s="916" t="s">
        <v>5270</v>
      </c>
      <c r="C562" s="916" t="s">
        <v>4908</v>
      </c>
      <c r="D562" s="915" t="s">
        <v>4897</v>
      </c>
      <c r="E562" s="918"/>
      <c r="F562" s="917">
        <v>350000</v>
      </c>
      <c r="G562" s="917">
        <v>1157539043</v>
      </c>
    </row>
    <row r="563" spans="1:7">
      <c r="A563" s="915" t="s">
        <v>4291</v>
      </c>
      <c r="B563" s="916" t="s">
        <v>5271</v>
      </c>
      <c r="C563" s="916" t="s">
        <v>4933</v>
      </c>
      <c r="D563" s="915"/>
      <c r="E563" s="917">
        <v>159230</v>
      </c>
      <c r="F563" s="918"/>
      <c r="G563" s="918"/>
    </row>
    <row r="564" spans="1:7">
      <c r="A564" s="915" t="s">
        <v>4291</v>
      </c>
      <c r="B564" s="916" t="s">
        <v>5271</v>
      </c>
      <c r="C564" s="916" t="s">
        <v>4966</v>
      </c>
      <c r="D564" s="915"/>
      <c r="E564" s="918"/>
      <c r="F564" s="917">
        <v>159230</v>
      </c>
      <c r="G564" s="918"/>
    </row>
    <row r="565" spans="1:7">
      <c r="A565" s="915" t="s">
        <v>4291</v>
      </c>
      <c r="B565" s="916" t="s">
        <v>5272</v>
      </c>
      <c r="C565" s="916" t="s">
        <v>4933</v>
      </c>
      <c r="D565" s="915"/>
      <c r="E565" s="917">
        <v>3000000</v>
      </c>
      <c r="F565" s="918"/>
      <c r="G565" s="918"/>
    </row>
    <row r="566" spans="1:7">
      <c r="A566" s="915" t="s">
        <v>4291</v>
      </c>
      <c r="B566" s="916" t="s">
        <v>5272</v>
      </c>
      <c r="C566" s="916" t="s">
        <v>4257</v>
      </c>
      <c r="D566" s="915"/>
      <c r="E566" s="918"/>
      <c r="F566" s="917">
        <v>3000000</v>
      </c>
      <c r="G566" s="918"/>
    </row>
    <row r="567" spans="1:7" ht="22.5">
      <c r="A567" s="915" t="s">
        <v>4291</v>
      </c>
      <c r="B567" s="916" t="s">
        <v>5273</v>
      </c>
      <c r="C567" s="916" t="s">
        <v>4983</v>
      </c>
      <c r="D567" s="915"/>
      <c r="E567" s="918"/>
      <c r="F567" s="917">
        <v>950000</v>
      </c>
      <c r="G567" s="918"/>
    </row>
    <row r="568" spans="1:7">
      <c r="A568" s="915" t="s">
        <v>4291</v>
      </c>
      <c r="B568" s="916" t="s">
        <v>5274</v>
      </c>
      <c r="C568" s="916" t="s">
        <v>5210</v>
      </c>
      <c r="D568" s="915"/>
      <c r="E568" s="918"/>
      <c r="F568" s="917">
        <v>4500</v>
      </c>
      <c r="G568" s="918"/>
    </row>
    <row r="569" spans="1:7">
      <c r="A569" s="915" t="s">
        <v>4291</v>
      </c>
      <c r="B569" s="916" t="s">
        <v>5274</v>
      </c>
      <c r="C569" s="916" t="s">
        <v>4257</v>
      </c>
      <c r="D569" s="915"/>
      <c r="E569" s="917">
        <v>10000</v>
      </c>
      <c r="F569" s="918"/>
      <c r="G569" s="918"/>
    </row>
    <row r="570" spans="1:7">
      <c r="A570" s="915" t="s">
        <v>4291</v>
      </c>
      <c r="B570" s="916" t="s">
        <v>5274</v>
      </c>
      <c r="C570" s="916" t="s">
        <v>5210</v>
      </c>
      <c r="D570" s="915"/>
      <c r="E570" s="918"/>
      <c r="F570" s="917">
        <v>10000</v>
      </c>
      <c r="G570" s="918"/>
    </row>
    <row r="571" spans="1:7">
      <c r="A571" s="915" t="s">
        <v>4291</v>
      </c>
      <c r="B571" s="916" t="s">
        <v>5275</v>
      </c>
      <c r="C571" s="916" t="s">
        <v>4898</v>
      </c>
      <c r="D571" s="915"/>
      <c r="E571" s="917">
        <v>60000</v>
      </c>
      <c r="F571" s="918"/>
      <c r="G571" s="918"/>
    </row>
    <row r="572" spans="1:7">
      <c r="A572" s="915" t="s">
        <v>4291</v>
      </c>
      <c r="B572" s="916" t="s">
        <v>5276</v>
      </c>
      <c r="C572" s="916" t="s">
        <v>4951</v>
      </c>
      <c r="D572" s="915"/>
      <c r="E572" s="917">
        <v>50000</v>
      </c>
      <c r="F572" s="918"/>
      <c r="G572" s="918"/>
    </row>
    <row r="573" spans="1:7">
      <c r="A573" s="915" t="s">
        <v>4291</v>
      </c>
      <c r="B573" s="916" t="s">
        <v>5277</v>
      </c>
      <c r="C573" s="916" t="s">
        <v>4898</v>
      </c>
      <c r="D573" s="915"/>
      <c r="E573" s="917">
        <v>155100</v>
      </c>
      <c r="F573" s="918"/>
      <c r="G573" s="918"/>
    </row>
    <row r="574" spans="1:7">
      <c r="A574" s="915" t="s">
        <v>4291</v>
      </c>
      <c r="B574" s="916" t="s">
        <v>5278</v>
      </c>
      <c r="C574" s="916" t="s">
        <v>4898</v>
      </c>
      <c r="D574" s="915"/>
      <c r="E574" s="917">
        <v>143300</v>
      </c>
      <c r="F574" s="918"/>
      <c r="G574" s="918"/>
    </row>
    <row r="575" spans="1:7">
      <c r="A575" s="915" t="s">
        <v>4291</v>
      </c>
      <c r="B575" s="916" t="s">
        <v>5279</v>
      </c>
      <c r="C575" s="916" t="s">
        <v>4898</v>
      </c>
      <c r="D575" s="915"/>
      <c r="E575" s="917">
        <v>150000</v>
      </c>
      <c r="F575" s="918"/>
      <c r="G575" s="918"/>
    </row>
    <row r="576" spans="1:7">
      <c r="A576" s="915" t="s">
        <v>4291</v>
      </c>
      <c r="B576" s="916" t="s">
        <v>4964</v>
      </c>
      <c r="C576" s="916" t="s">
        <v>4903</v>
      </c>
      <c r="D576" s="915"/>
      <c r="E576" s="917">
        <v>439540</v>
      </c>
      <c r="F576" s="918"/>
      <c r="G576" s="918"/>
    </row>
    <row r="577" spans="1:7">
      <c r="A577" s="915" t="s">
        <v>4291</v>
      </c>
      <c r="B577" s="916" t="s">
        <v>4964</v>
      </c>
      <c r="C577" s="916" t="s">
        <v>4957</v>
      </c>
      <c r="D577" s="915"/>
      <c r="E577" s="918"/>
      <c r="F577" s="917">
        <v>439540</v>
      </c>
      <c r="G577" s="918"/>
    </row>
    <row r="578" spans="1:7" ht="33.75">
      <c r="A578" s="915" t="s">
        <v>4291</v>
      </c>
      <c r="B578" s="916" t="s">
        <v>5280</v>
      </c>
      <c r="C578" s="916" t="s">
        <v>4933</v>
      </c>
      <c r="D578" s="915"/>
      <c r="E578" s="918"/>
      <c r="F578" s="917">
        <v>21000</v>
      </c>
      <c r="G578" s="918"/>
    </row>
    <row r="579" spans="1:7">
      <c r="A579" s="915" t="s">
        <v>4291</v>
      </c>
      <c r="B579" s="916" t="s">
        <v>5281</v>
      </c>
      <c r="C579" s="916" t="s">
        <v>4555</v>
      </c>
      <c r="D579" s="915"/>
      <c r="E579" s="917">
        <v>500000</v>
      </c>
      <c r="F579" s="918"/>
      <c r="G579" s="918"/>
    </row>
    <row r="580" spans="1:7">
      <c r="A580" s="915" t="s">
        <v>4291</v>
      </c>
      <c r="B580" s="916" t="s">
        <v>5282</v>
      </c>
      <c r="C580" s="916" t="s">
        <v>4582</v>
      </c>
      <c r="D580" s="915"/>
      <c r="E580" s="917">
        <v>10000</v>
      </c>
      <c r="F580" s="918"/>
      <c r="G580" s="918"/>
    </row>
    <row r="581" spans="1:7">
      <c r="A581" s="995" t="s">
        <v>3589</v>
      </c>
      <c r="B581" s="995" t="s">
        <v>3590</v>
      </c>
      <c r="C581" s="995" t="s">
        <v>3592</v>
      </c>
      <c r="D581" s="995" t="s">
        <v>3593</v>
      </c>
      <c r="E581" s="995" t="s">
        <v>3594</v>
      </c>
      <c r="F581" s="995" t="s">
        <v>3030</v>
      </c>
      <c r="G581" s="995" t="s">
        <v>3595</v>
      </c>
    </row>
    <row r="582" spans="1:7">
      <c r="A582" s="915" t="s">
        <v>4291</v>
      </c>
      <c r="B582" s="916" t="s">
        <v>5283</v>
      </c>
      <c r="C582" s="916" t="s">
        <v>4486</v>
      </c>
      <c r="D582" s="915"/>
      <c r="E582" s="917">
        <v>100000</v>
      </c>
      <c r="F582" s="918"/>
      <c r="G582" s="918"/>
    </row>
    <row r="583" spans="1:7">
      <c r="A583" s="915" t="s">
        <v>4291</v>
      </c>
      <c r="B583" s="916" t="s">
        <v>5284</v>
      </c>
      <c r="C583" s="916" t="s">
        <v>5037</v>
      </c>
      <c r="D583" s="915"/>
      <c r="E583" s="917">
        <v>440</v>
      </c>
      <c r="F583" s="918"/>
      <c r="G583" s="918"/>
    </row>
    <row r="584" spans="1:7">
      <c r="A584" s="915" t="s">
        <v>4291</v>
      </c>
      <c r="B584" s="916" t="s">
        <v>5285</v>
      </c>
      <c r="C584" s="916" t="s">
        <v>4917</v>
      </c>
      <c r="D584" s="915" t="s">
        <v>4918</v>
      </c>
      <c r="E584" s="918"/>
      <c r="F584" s="917">
        <v>673100</v>
      </c>
      <c r="G584" s="918"/>
    </row>
    <row r="585" spans="1:7">
      <c r="A585" s="915" t="s">
        <v>4291</v>
      </c>
      <c r="B585" s="916" t="s">
        <v>5286</v>
      </c>
      <c r="C585" s="916" t="s">
        <v>4910</v>
      </c>
      <c r="D585" s="915"/>
      <c r="E585" s="917">
        <v>100000</v>
      </c>
      <c r="F585" s="918"/>
      <c r="G585" s="918"/>
    </row>
    <row r="586" spans="1:7">
      <c r="A586" s="915" t="s">
        <v>4291</v>
      </c>
      <c r="B586" s="916" t="s">
        <v>4395</v>
      </c>
      <c r="C586" s="916" t="s">
        <v>4366</v>
      </c>
      <c r="D586" s="915"/>
      <c r="E586" s="917">
        <v>20862580</v>
      </c>
      <c r="F586" s="918"/>
      <c r="G586" s="918"/>
    </row>
    <row r="587" spans="1:7" ht="22.5">
      <c r="A587" s="915" t="s">
        <v>4291</v>
      </c>
      <c r="B587" s="916" t="s">
        <v>4278</v>
      </c>
      <c r="C587" s="916" t="s">
        <v>4257</v>
      </c>
      <c r="D587" s="915"/>
      <c r="E587" s="918"/>
      <c r="F587" s="917">
        <v>14150</v>
      </c>
      <c r="G587" s="918"/>
    </row>
    <row r="588" spans="1:7">
      <c r="A588" s="915" t="s">
        <v>4291</v>
      </c>
      <c r="B588" s="916" t="s">
        <v>5287</v>
      </c>
      <c r="C588" s="916" t="s">
        <v>4933</v>
      </c>
      <c r="D588" s="915"/>
      <c r="E588" s="918"/>
      <c r="F588" s="917">
        <v>16151378</v>
      </c>
      <c r="G588" s="918"/>
    </row>
    <row r="589" spans="1:7">
      <c r="A589" s="915" t="s">
        <v>4291</v>
      </c>
      <c r="B589" s="916" t="s">
        <v>5288</v>
      </c>
      <c r="C589" s="916" t="s">
        <v>4933</v>
      </c>
      <c r="D589" s="915"/>
      <c r="E589" s="918"/>
      <c r="F589" s="917">
        <v>11220</v>
      </c>
      <c r="G589" s="918"/>
    </row>
    <row r="590" spans="1:7">
      <c r="A590" s="915" t="s">
        <v>4291</v>
      </c>
      <c r="B590" s="916" t="s">
        <v>5099</v>
      </c>
      <c r="C590" s="916" t="s">
        <v>4903</v>
      </c>
      <c r="D590" s="915"/>
      <c r="E590" s="918"/>
      <c r="F590" s="917">
        <v>45000</v>
      </c>
      <c r="G590" s="918"/>
    </row>
    <row r="591" spans="1:7">
      <c r="A591" s="915" t="s">
        <v>4291</v>
      </c>
      <c r="B591" s="916" t="s">
        <v>5289</v>
      </c>
      <c r="C591" s="916" t="s">
        <v>4957</v>
      </c>
      <c r="D591" s="915"/>
      <c r="E591" s="917">
        <v>387595</v>
      </c>
      <c r="F591" s="918"/>
      <c r="G591" s="918"/>
    </row>
    <row r="592" spans="1:7">
      <c r="A592" s="915" t="s">
        <v>4291</v>
      </c>
      <c r="B592" s="916" t="s">
        <v>5290</v>
      </c>
      <c r="C592" s="916" t="s">
        <v>4957</v>
      </c>
      <c r="D592" s="915"/>
      <c r="E592" s="917">
        <v>387596</v>
      </c>
      <c r="F592" s="918"/>
      <c r="G592" s="917">
        <v>1162575306</v>
      </c>
    </row>
    <row r="593" spans="1:7" ht="22.5">
      <c r="A593" s="915" t="s">
        <v>3865</v>
      </c>
      <c r="B593" s="916" t="s">
        <v>4997</v>
      </c>
      <c r="C593" s="916" t="s">
        <v>4951</v>
      </c>
      <c r="D593" s="915"/>
      <c r="E593" s="917">
        <v>5515100</v>
      </c>
      <c r="F593" s="918"/>
      <c r="G593" s="918"/>
    </row>
    <row r="594" spans="1:7" ht="22.5">
      <c r="A594" s="915" t="s">
        <v>3865</v>
      </c>
      <c r="B594" s="916" t="s">
        <v>4997</v>
      </c>
      <c r="C594" s="916" t="s">
        <v>4366</v>
      </c>
      <c r="D594" s="915"/>
      <c r="E594" s="918"/>
      <c r="F594" s="917">
        <v>5515100</v>
      </c>
      <c r="G594" s="918"/>
    </row>
    <row r="595" spans="1:7">
      <c r="A595" s="915" t="s">
        <v>3865</v>
      </c>
      <c r="B595" s="916" t="s">
        <v>5291</v>
      </c>
      <c r="C595" s="916" t="s">
        <v>4992</v>
      </c>
      <c r="D595" s="915"/>
      <c r="E595" s="918"/>
      <c r="F595" s="917">
        <v>100000</v>
      </c>
      <c r="G595" s="918"/>
    </row>
    <row r="596" spans="1:7">
      <c r="A596" s="915" t="s">
        <v>3865</v>
      </c>
      <c r="B596" s="916" t="s">
        <v>5292</v>
      </c>
      <c r="C596" s="916" t="s">
        <v>4917</v>
      </c>
      <c r="D596" s="915" t="s">
        <v>4918</v>
      </c>
      <c r="E596" s="917">
        <v>10200</v>
      </c>
      <c r="F596" s="918"/>
      <c r="G596" s="918"/>
    </row>
    <row r="597" spans="1:7">
      <c r="A597" s="915" t="s">
        <v>3865</v>
      </c>
      <c r="B597" s="916" t="s">
        <v>5292</v>
      </c>
      <c r="C597" s="916" t="s">
        <v>4992</v>
      </c>
      <c r="D597" s="915"/>
      <c r="E597" s="918"/>
      <c r="F597" s="917">
        <v>10200</v>
      </c>
      <c r="G597" s="918"/>
    </row>
    <row r="598" spans="1:7">
      <c r="A598" s="915" t="s">
        <v>3865</v>
      </c>
      <c r="B598" s="916" t="s">
        <v>5293</v>
      </c>
      <c r="C598" s="916" t="s">
        <v>4933</v>
      </c>
      <c r="D598" s="915"/>
      <c r="E598" s="917">
        <v>56550</v>
      </c>
      <c r="F598" s="918"/>
      <c r="G598" s="918"/>
    </row>
    <row r="599" spans="1:7">
      <c r="A599" s="915" t="s">
        <v>3865</v>
      </c>
      <c r="B599" s="916" t="s">
        <v>5293</v>
      </c>
      <c r="C599" s="916" t="s">
        <v>4992</v>
      </c>
      <c r="D599" s="915"/>
      <c r="E599" s="918"/>
      <c r="F599" s="917">
        <v>56550</v>
      </c>
      <c r="G599" s="918"/>
    </row>
    <row r="600" spans="1:7">
      <c r="A600" s="915" t="s">
        <v>3865</v>
      </c>
      <c r="B600" s="916" t="s">
        <v>5294</v>
      </c>
      <c r="C600" s="916" t="s">
        <v>4992</v>
      </c>
      <c r="D600" s="915"/>
      <c r="E600" s="918"/>
      <c r="F600" s="917">
        <v>550000</v>
      </c>
      <c r="G600" s="918"/>
    </row>
    <row r="601" spans="1:7">
      <c r="A601" s="915" t="s">
        <v>3865</v>
      </c>
      <c r="B601" s="916" t="s">
        <v>4998</v>
      </c>
      <c r="C601" s="916" t="s">
        <v>4999</v>
      </c>
      <c r="D601" s="915" t="s">
        <v>4897</v>
      </c>
      <c r="E601" s="918"/>
      <c r="F601" s="917">
        <v>8920</v>
      </c>
      <c r="G601" s="918"/>
    </row>
    <row r="602" spans="1:7">
      <c r="A602" s="915" t="s">
        <v>3865</v>
      </c>
      <c r="B602" s="916" t="s">
        <v>4412</v>
      </c>
      <c r="C602" s="916" t="s">
        <v>4257</v>
      </c>
      <c r="D602" s="915"/>
      <c r="E602" s="917">
        <v>8920</v>
      </c>
      <c r="F602" s="918"/>
      <c r="G602" s="918"/>
    </row>
    <row r="603" spans="1:7">
      <c r="A603" s="915" t="s">
        <v>3865</v>
      </c>
      <c r="B603" s="916" t="s">
        <v>5295</v>
      </c>
      <c r="C603" s="916" t="s">
        <v>4992</v>
      </c>
      <c r="D603" s="915"/>
      <c r="E603" s="918"/>
      <c r="F603" s="917">
        <v>842700</v>
      </c>
      <c r="G603" s="918"/>
    </row>
    <row r="604" spans="1:7">
      <c r="A604" s="915" t="s">
        <v>3865</v>
      </c>
      <c r="B604" s="916" t="s">
        <v>5086</v>
      </c>
      <c r="C604" s="916" t="s">
        <v>4257</v>
      </c>
      <c r="D604" s="915"/>
      <c r="E604" s="917">
        <v>3791173</v>
      </c>
      <c r="F604" s="918"/>
      <c r="G604" s="918"/>
    </row>
    <row r="605" spans="1:7">
      <c r="A605" s="915" t="s">
        <v>3865</v>
      </c>
      <c r="B605" s="916" t="s">
        <v>5296</v>
      </c>
      <c r="C605" s="916" t="s">
        <v>4945</v>
      </c>
      <c r="D605" s="915"/>
      <c r="E605" s="918"/>
      <c r="F605" s="917">
        <v>110000</v>
      </c>
      <c r="G605" s="918"/>
    </row>
    <row r="606" spans="1:7">
      <c r="A606" s="915" t="s">
        <v>3865</v>
      </c>
      <c r="B606" s="916" t="s">
        <v>5296</v>
      </c>
      <c r="C606" s="916" t="s">
        <v>4933</v>
      </c>
      <c r="D606" s="915"/>
      <c r="E606" s="917">
        <v>45470</v>
      </c>
      <c r="F606" s="918"/>
      <c r="G606" s="918"/>
    </row>
    <row r="607" spans="1:7">
      <c r="A607" s="915" t="s">
        <v>3865</v>
      </c>
      <c r="B607" s="916" t="s">
        <v>5296</v>
      </c>
      <c r="C607" s="916" t="s">
        <v>4945</v>
      </c>
      <c r="D607" s="915"/>
      <c r="E607" s="918"/>
      <c r="F607" s="917">
        <v>45470</v>
      </c>
      <c r="G607" s="918"/>
    </row>
    <row r="608" spans="1:7">
      <c r="A608" s="915" t="s">
        <v>3865</v>
      </c>
      <c r="B608" s="916" t="s">
        <v>5296</v>
      </c>
      <c r="C608" s="916" t="s">
        <v>4257</v>
      </c>
      <c r="D608" s="915"/>
      <c r="E608" s="917">
        <v>30200</v>
      </c>
      <c r="F608" s="918"/>
      <c r="G608" s="918"/>
    </row>
    <row r="609" spans="1:7">
      <c r="A609" s="915" t="s">
        <v>3865</v>
      </c>
      <c r="B609" s="916" t="s">
        <v>5296</v>
      </c>
      <c r="C609" s="916" t="s">
        <v>4945</v>
      </c>
      <c r="D609" s="915"/>
      <c r="E609" s="918"/>
      <c r="F609" s="917">
        <v>30200</v>
      </c>
      <c r="G609" s="918"/>
    </row>
    <row r="610" spans="1:7" ht="22.5">
      <c r="A610" s="915" t="s">
        <v>3865</v>
      </c>
      <c r="B610" s="916" t="s">
        <v>5297</v>
      </c>
      <c r="C610" s="916" t="s">
        <v>4257</v>
      </c>
      <c r="D610" s="915"/>
      <c r="E610" s="918"/>
      <c r="F610" s="917">
        <v>286800</v>
      </c>
      <c r="G610" s="918"/>
    </row>
    <row r="611" spans="1:7">
      <c r="A611" s="915" t="s">
        <v>3865</v>
      </c>
      <c r="B611" s="916" t="s">
        <v>5298</v>
      </c>
      <c r="C611" s="916" t="s">
        <v>4257</v>
      </c>
      <c r="D611" s="915"/>
      <c r="E611" s="918"/>
      <c r="F611" s="917">
        <v>66000</v>
      </c>
      <c r="G611" s="918"/>
    </row>
    <row r="612" spans="1:7">
      <c r="A612" s="915" t="s">
        <v>3865</v>
      </c>
      <c r="B612" s="916" t="s">
        <v>5299</v>
      </c>
      <c r="C612" s="916" t="s">
        <v>4951</v>
      </c>
      <c r="D612" s="915"/>
      <c r="E612" s="917">
        <v>10000</v>
      </c>
      <c r="F612" s="918"/>
      <c r="G612" s="918"/>
    </row>
    <row r="613" spans="1:7">
      <c r="A613" s="915" t="s">
        <v>3865</v>
      </c>
      <c r="B613" s="916" t="s">
        <v>4964</v>
      </c>
      <c r="C613" s="916" t="s">
        <v>4903</v>
      </c>
      <c r="D613" s="915"/>
      <c r="E613" s="917">
        <v>51740</v>
      </c>
      <c r="F613" s="918"/>
      <c r="G613" s="918"/>
    </row>
    <row r="614" spans="1:7">
      <c r="A614" s="915" t="s">
        <v>3865</v>
      </c>
      <c r="B614" s="916" t="s">
        <v>4964</v>
      </c>
      <c r="C614" s="916" t="s">
        <v>4957</v>
      </c>
      <c r="D614" s="915"/>
      <c r="E614" s="918"/>
      <c r="F614" s="917">
        <v>51740</v>
      </c>
      <c r="G614" s="918"/>
    </row>
    <row r="615" spans="1:7">
      <c r="A615" s="915" t="s">
        <v>3865</v>
      </c>
      <c r="B615" s="916" t="s">
        <v>5300</v>
      </c>
      <c r="C615" s="916" t="s">
        <v>4960</v>
      </c>
      <c r="D615" s="915"/>
      <c r="E615" s="917">
        <v>20000000</v>
      </c>
      <c r="F615" s="918"/>
      <c r="G615" s="918"/>
    </row>
    <row r="616" spans="1:7">
      <c r="A616" s="915" t="s">
        <v>3865</v>
      </c>
      <c r="B616" s="916" t="s">
        <v>5301</v>
      </c>
      <c r="C616" s="916" t="s">
        <v>5210</v>
      </c>
      <c r="D616" s="915"/>
      <c r="E616" s="917">
        <v>2014</v>
      </c>
      <c r="F616" s="918"/>
      <c r="G616" s="918"/>
    </row>
    <row r="617" spans="1:7">
      <c r="A617" s="915" t="s">
        <v>3865</v>
      </c>
      <c r="B617" s="916" t="s">
        <v>5301</v>
      </c>
      <c r="C617" s="916" t="s">
        <v>4983</v>
      </c>
      <c r="D617" s="915"/>
      <c r="E617" s="918"/>
      <c r="F617" s="917">
        <v>2014</v>
      </c>
      <c r="G617" s="918"/>
    </row>
    <row r="618" spans="1:7" ht="22.5">
      <c r="A618" s="915" t="s">
        <v>3865</v>
      </c>
      <c r="B618" s="916" t="s">
        <v>5302</v>
      </c>
      <c r="C618" s="916" t="s">
        <v>4960</v>
      </c>
      <c r="D618" s="915"/>
      <c r="E618" s="918"/>
      <c r="F618" s="917">
        <v>1900000</v>
      </c>
      <c r="G618" s="918"/>
    </row>
    <row r="619" spans="1:7" ht="22.5">
      <c r="A619" s="915" t="s">
        <v>3865</v>
      </c>
      <c r="B619" s="916" t="s">
        <v>5302</v>
      </c>
      <c r="C619" s="916" t="s">
        <v>4960</v>
      </c>
      <c r="D619" s="915"/>
      <c r="E619" s="918"/>
      <c r="F619" s="917">
        <v>100000</v>
      </c>
      <c r="G619" s="918"/>
    </row>
    <row r="620" spans="1:7">
      <c r="A620" s="915" t="s">
        <v>3865</v>
      </c>
      <c r="B620" s="916" t="s">
        <v>5303</v>
      </c>
      <c r="C620" s="916" t="s">
        <v>4935</v>
      </c>
      <c r="D620" s="915" t="s">
        <v>4897</v>
      </c>
      <c r="E620" s="918"/>
      <c r="F620" s="917">
        <v>774360</v>
      </c>
      <c r="G620" s="918"/>
    </row>
    <row r="621" spans="1:7">
      <c r="A621" s="915" t="s">
        <v>3865</v>
      </c>
      <c r="B621" s="916" t="s">
        <v>5303</v>
      </c>
      <c r="C621" s="916" t="s">
        <v>4949</v>
      </c>
      <c r="D621" s="915"/>
      <c r="E621" s="917">
        <v>35640</v>
      </c>
      <c r="F621" s="918"/>
      <c r="G621" s="918"/>
    </row>
    <row r="622" spans="1:7">
      <c r="A622" s="915" t="s">
        <v>3865</v>
      </c>
      <c r="B622" s="916" t="s">
        <v>5303</v>
      </c>
      <c r="C622" s="916" t="s">
        <v>4935</v>
      </c>
      <c r="D622" s="915" t="s">
        <v>4897</v>
      </c>
      <c r="E622" s="918"/>
      <c r="F622" s="917">
        <v>35640</v>
      </c>
      <c r="G622" s="918"/>
    </row>
    <row r="623" spans="1:7">
      <c r="A623" s="915" t="s">
        <v>3865</v>
      </c>
      <c r="B623" s="916" t="s">
        <v>5304</v>
      </c>
      <c r="C623" s="916" t="s">
        <v>4908</v>
      </c>
      <c r="D623" s="915" t="s">
        <v>4897</v>
      </c>
      <c r="E623" s="918"/>
      <c r="F623" s="917">
        <v>600000</v>
      </c>
      <c r="G623" s="918"/>
    </row>
    <row r="624" spans="1:7">
      <c r="A624" s="915" t="s">
        <v>3865</v>
      </c>
      <c r="B624" s="916" t="s">
        <v>4666</v>
      </c>
      <c r="C624" s="916" t="s">
        <v>4257</v>
      </c>
      <c r="D624" s="915"/>
      <c r="E624" s="918"/>
      <c r="F624" s="917">
        <v>52000</v>
      </c>
      <c r="G624" s="918"/>
    </row>
    <row r="625" spans="1:7">
      <c r="A625" s="995" t="s">
        <v>3589</v>
      </c>
      <c r="B625" s="995" t="s">
        <v>3590</v>
      </c>
      <c r="C625" s="995" t="s">
        <v>3592</v>
      </c>
      <c r="D625" s="995" t="s">
        <v>3593</v>
      </c>
      <c r="E625" s="995" t="s">
        <v>3594</v>
      </c>
      <c r="F625" s="995" t="s">
        <v>3030</v>
      </c>
      <c r="G625" s="995" t="s">
        <v>3595</v>
      </c>
    </row>
    <row r="626" spans="1:7">
      <c r="A626" s="915" t="s">
        <v>3865</v>
      </c>
      <c r="B626" s="916" t="s">
        <v>5305</v>
      </c>
      <c r="C626" s="916" t="s">
        <v>4257</v>
      </c>
      <c r="D626" s="915"/>
      <c r="E626" s="917">
        <v>100000</v>
      </c>
      <c r="F626" s="918"/>
      <c r="G626" s="918"/>
    </row>
    <row r="627" spans="1:7">
      <c r="A627" s="915" t="s">
        <v>3865</v>
      </c>
      <c r="B627" s="916" t="s">
        <v>5306</v>
      </c>
      <c r="C627" s="916" t="s">
        <v>4957</v>
      </c>
      <c r="D627" s="915"/>
      <c r="E627" s="917">
        <v>387596</v>
      </c>
      <c r="F627" s="918"/>
      <c r="G627" s="917">
        <v>1181482215</v>
      </c>
    </row>
    <row r="628" spans="1:7">
      <c r="A628" s="915" t="s">
        <v>3868</v>
      </c>
      <c r="B628" s="916" t="s">
        <v>5307</v>
      </c>
      <c r="C628" s="916" t="s">
        <v>4992</v>
      </c>
      <c r="D628" s="915"/>
      <c r="E628" s="918"/>
      <c r="F628" s="996">
        <v>2130</v>
      </c>
      <c r="G628" s="918"/>
    </row>
    <row r="629" spans="1:7">
      <c r="A629" s="915" t="s">
        <v>3868</v>
      </c>
      <c r="B629" s="916" t="s">
        <v>5308</v>
      </c>
      <c r="C629" s="916" t="s">
        <v>4917</v>
      </c>
      <c r="D629" s="915" t="s">
        <v>4918</v>
      </c>
      <c r="E629" s="917">
        <v>4900</v>
      </c>
      <c r="F629" s="918"/>
      <c r="G629" s="918"/>
    </row>
    <row r="630" spans="1:7">
      <c r="A630" s="915" t="s">
        <v>3868</v>
      </c>
      <c r="B630" s="916" t="s">
        <v>5308</v>
      </c>
      <c r="C630" s="916" t="s">
        <v>4992</v>
      </c>
      <c r="D630" s="915"/>
      <c r="E630" s="918"/>
      <c r="F630" s="917">
        <v>4900</v>
      </c>
      <c r="G630" s="918"/>
    </row>
    <row r="631" spans="1:7" ht="22.5">
      <c r="A631" s="915" t="s">
        <v>3868</v>
      </c>
      <c r="B631" s="916" t="s">
        <v>5309</v>
      </c>
      <c r="C631" s="916" t="s">
        <v>5050</v>
      </c>
      <c r="D631" s="915"/>
      <c r="E631" s="918"/>
      <c r="F631" s="996">
        <v>1200000</v>
      </c>
      <c r="G631" s="918"/>
    </row>
    <row r="632" spans="1:7" ht="22.5">
      <c r="A632" s="915" t="s">
        <v>3868</v>
      </c>
      <c r="B632" s="916" t="s">
        <v>5310</v>
      </c>
      <c r="C632" s="916" t="s">
        <v>5050</v>
      </c>
      <c r="D632" s="915"/>
      <c r="E632" s="918"/>
      <c r="F632" s="996">
        <v>883160</v>
      </c>
      <c r="G632" s="918"/>
    </row>
    <row r="633" spans="1:7" ht="22.5">
      <c r="A633" s="915" t="s">
        <v>3868</v>
      </c>
      <c r="B633" s="916" t="s">
        <v>5310</v>
      </c>
      <c r="C633" s="916" t="s">
        <v>5050</v>
      </c>
      <c r="D633" s="915"/>
      <c r="E633" s="918"/>
      <c r="F633" s="996">
        <v>94000</v>
      </c>
      <c r="G633" s="918"/>
    </row>
    <row r="634" spans="1:7">
      <c r="A634" s="915" t="s">
        <v>3868</v>
      </c>
      <c r="B634" s="916" t="s">
        <v>5311</v>
      </c>
      <c r="C634" s="916" t="s">
        <v>5203</v>
      </c>
      <c r="D634" s="915"/>
      <c r="E634" s="918"/>
      <c r="F634" s="996">
        <v>6150000</v>
      </c>
      <c r="G634" s="918"/>
    </row>
    <row r="635" spans="1:7" ht="22.5">
      <c r="A635" s="915" t="s">
        <v>3868</v>
      </c>
      <c r="B635" s="916" t="s">
        <v>5312</v>
      </c>
      <c r="C635" s="916" t="s">
        <v>5203</v>
      </c>
      <c r="D635" s="915"/>
      <c r="E635" s="918"/>
      <c r="F635" s="996">
        <v>100000</v>
      </c>
      <c r="G635" s="918"/>
    </row>
    <row r="636" spans="1:7" ht="22.5">
      <c r="A636" s="915" t="s">
        <v>3868</v>
      </c>
      <c r="B636" s="916" t="s">
        <v>5312</v>
      </c>
      <c r="C636" s="916" t="s">
        <v>4257</v>
      </c>
      <c r="D636" s="915"/>
      <c r="E636" s="917">
        <v>10000</v>
      </c>
      <c r="F636" s="918"/>
      <c r="G636" s="918"/>
    </row>
    <row r="637" spans="1:7" ht="22.5">
      <c r="A637" s="915" t="s">
        <v>3868</v>
      </c>
      <c r="B637" s="916" t="s">
        <v>5312</v>
      </c>
      <c r="C637" s="916" t="s">
        <v>5203</v>
      </c>
      <c r="D637" s="915"/>
      <c r="E637" s="918"/>
      <c r="F637" s="996">
        <v>10000</v>
      </c>
      <c r="G637" s="918"/>
    </row>
    <row r="638" spans="1:7">
      <c r="A638" s="915" t="s">
        <v>3868</v>
      </c>
      <c r="B638" s="916" t="s">
        <v>5313</v>
      </c>
      <c r="C638" s="916" t="s">
        <v>4945</v>
      </c>
      <c r="D638" s="915"/>
      <c r="E638" s="918"/>
      <c r="F638" s="996">
        <v>77000</v>
      </c>
      <c r="G638" s="918"/>
    </row>
    <row r="639" spans="1:7">
      <c r="A639" s="915" t="s">
        <v>3868</v>
      </c>
      <c r="B639" s="916" t="s">
        <v>5313</v>
      </c>
      <c r="C639" s="916" t="s">
        <v>4933</v>
      </c>
      <c r="D639" s="915"/>
      <c r="E639" s="917">
        <v>67900</v>
      </c>
      <c r="F639" s="918"/>
      <c r="G639" s="918"/>
    </row>
    <row r="640" spans="1:7">
      <c r="A640" s="915" t="s">
        <v>3868</v>
      </c>
      <c r="B640" s="916" t="s">
        <v>5313</v>
      </c>
      <c r="C640" s="916" t="s">
        <v>4945</v>
      </c>
      <c r="D640" s="915"/>
      <c r="E640" s="918"/>
      <c r="F640" s="996">
        <v>67900</v>
      </c>
      <c r="G640" s="918"/>
    </row>
    <row r="641" spans="1:7">
      <c r="A641" s="915" t="s">
        <v>3868</v>
      </c>
      <c r="B641" s="916" t="s">
        <v>5314</v>
      </c>
      <c r="C641" s="916" t="s">
        <v>4966</v>
      </c>
      <c r="D641" s="915"/>
      <c r="E641" s="918"/>
      <c r="F641" s="996">
        <v>339200</v>
      </c>
      <c r="G641" s="918"/>
    </row>
    <row r="642" spans="1:7" ht="22.5">
      <c r="A642" s="915" t="s">
        <v>3868</v>
      </c>
      <c r="B642" s="916" t="s">
        <v>5315</v>
      </c>
      <c r="C642" s="916" t="s">
        <v>4966</v>
      </c>
      <c r="D642" s="915"/>
      <c r="E642" s="918"/>
      <c r="F642" s="917">
        <v>200000</v>
      </c>
      <c r="G642" s="918"/>
    </row>
    <row r="643" spans="1:7" ht="22.5">
      <c r="A643" s="915" t="s">
        <v>3868</v>
      </c>
      <c r="B643" s="916" t="s">
        <v>5315</v>
      </c>
      <c r="C643" s="916" t="s">
        <v>4933</v>
      </c>
      <c r="D643" s="915"/>
      <c r="E643" s="917">
        <v>17800</v>
      </c>
      <c r="F643" s="918"/>
      <c r="G643" s="918"/>
    </row>
    <row r="644" spans="1:7" ht="22.5">
      <c r="A644" s="915" t="s">
        <v>3868</v>
      </c>
      <c r="B644" s="916" t="s">
        <v>5315</v>
      </c>
      <c r="C644" s="916" t="s">
        <v>4966</v>
      </c>
      <c r="D644" s="915"/>
      <c r="E644" s="918"/>
      <c r="F644" s="917">
        <v>17800</v>
      </c>
      <c r="G644" s="918"/>
    </row>
    <row r="645" spans="1:7">
      <c r="A645" s="915" t="s">
        <v>3868</v>
      </c>
      <c r="B645" s="916" t="s">
        <v>5316</v>
      </c>
      <c r="C645" s="916" t="s">
        <v>4257</v>
      </c>
      <c r="D645" s="915"/>
      <c r="E645" s="917">
        <v>16000</v>
      </c>
      <c r="F645" s="918"/>
      <c r="G645" s="918"/>
    </row>
    <row r="646" spans="1:7">
      <c r="A646" s="915" t="s">
        <v>3868</v>
      </c>
      <c r="B646" s="916" t="s">
        <v>5316</v>
      </c>
      <c r="C646" s="916" t="s">
        <v>4966</v>
      </c>
      <c r="D646" s="915"/>
      <c r="E646" s="918"/>
      <c r="F646" s="996">
        <v>16000</v>
      </c>
      <c r="G646" s="918"/>
    </row>
    <row r="647" spans="1:7">
      <c r="A647" s="915" t="s">
        <v>3868</v>
      </c>
      <c r="B647" s="916" t="s">
        <v>5316</v>
      </c>
      <c r="C647" s="916" t="s">
        <v>4933</v>
      </c>
      <c r="D647" s="915"/>
      <c r="E647" s="917">
        <v>20000</v>
      </c>
      <c r="F647" s="918"/>
      <c r="G647" s="918"/>
    </row>
    <row r="648" spans="1:7">
      <c r="A648" s="915" t="s">
        <v>3868</v>
      </c>
      <c r="B648" s="916" t="s">
        <v>5316</v>
      </c>
      <c r="C648" s="916" t="s">
        <v>4966</v>
      </c>
      <c r="D648" s="915"/>
      <c r="E648" s="918"/>
      <c r="F648" s="996">
        <v>20000</v>
      </c>
      <c r="G648" s="918"/>
    </row>
    <row r="649" spans="1:7">
      <c r="A649" s="915" t="s">
        <v>3868</v>
      </c>
      <c r="B649" s="916" t="s">
        <v>5067</v>
      </c>
      <c r="C649" s="916" t="s">
        <v>4257</v>
      </c>
      <c r="D649" s="915"/>
      <c r="E649" s="917">
        <v>2130</v>
      </c>
      <c r="F649" s="918"/>
      <c r="G649" s="918"/>
    </row>
    <row r="650" spans="1:7">
      <c r="A650" s="915" t="s">
        <v>3868</v>
      </c>
      <c r="B650" s="916" t="s">
        <v>5317</v>
      </c>
      <c r="C650" s="916" t="s">
        <v>4992</v>
      </c>
      <c r="D650" s="915"/>
      <c r="E650" s="918"/>
      <c r="F650" s="996">
        <v>1925000</v>
      </c>
      <c r="G650" s="918"/>
    </row>
    <row r="651" spans="1:7">
      <c r="A651" s="915" t="s">
        <v>3868</v>
      </c>
      <c r="B651" s="916" t="s">
        <v>5318</v>
      </c>
      <c r="C651" s="916" t="s">
        <v>4951</v>
      </c>
      <c r="D651" s="915"/>
      <c r="E651" s="917">
        <v>154000</v>
      </c>
      <c r="F651" s="918"/>
      <c r="G651" s="918"/>
    </row>
    <row r="652" spans="1:7">
      <c r="A652" s="915" t="s">
        <v>3868</v>
      </c>
      <c r="B652" s="916" t="s">
        <v>5319</v>
      </c>
      <c r="C652" s="916" t="s">
        <v>4951</v>
      </c>
      <c r="D652" s="915"/>
      <c r="E652" s="917">
        <v>148000</v>
      </c>
      <c r="F652" s="918"/>
      <c r="G652" s="918"/>
    </row>
    <row r="653" spans="1:7">
      <c r="A653" s="915" t="s">
        <v>3868</v>
      </c>
      <c r="B653" s="916" t="s">
        <v>5320</v>
      </c>
      <c r="C653" s="916" t="s">
        <v>4951</v>
      </c>
      <c r="D653" s="915"/>
      <c r="E653" s="917">
        <v>50000</v>
      </c>
      <c r="F653" s="918"/>
      <c r="G653" s="918"/>
    </row>
    <row r="654" spans="1:7">
      <c r="A654" s="915" t="s">
        <v>3868</v>
      </c>
      <c r="B654" s="916" t="s">
        <v>4964</v>
      </c>
      <c r="C654" s="916" t="s">
        <v>4903</v>
      </c>
      <c r="D654" s="915"/>
      <c r="E654" s="917">
        <v>26780</v>
      </c>
      <c r="F654" s="918"/>
      <c r="G654" s="918"/>
    </row>
    <row r="655" spans="1:7">
      <c r="A655" s="915" t="s">
        <v>3868</v>
      </c>
      <c r="B655" s="916" t="s">
        <v>4964</v>
      </c>
      <c r="C655" s="916" t="s">
        <v>4957</v>
      </c>
      <c r="D655" s="915"/>
      <c r="E655" s="918"/>
      <c r="F655" s="917">
        <v>26780</v>
      </c>
      <c r="G655" s="918"/>
    </row>
    <row r="656" spans="1:7">
      <c r="A656" s="915" t="s">
        <v>3868</v>
      </c>
      <c r="B656" s="916" t="s">
        <v>5321</v>
      </c>
      <c r="C656" s="916" t="s">
        <v>4257</v>
      </c>
      <c r="D656" s="915"/>
      <c r="E656" s="917">
        <v>6275</v>
      </c>
      <c r="F656" s="918"/>
      <c r="G656" s="918"/>
    </row>
    <row r="657" spans="1:7">
      <c r="A657" s="915" t="s">
        <v>3868</v>
      </c>
      <c r="B657" s="916" t="s">
        <v>5321</v>
      </c>
      <c r="C657" s="916" t="s">
        <v>5195</v>
      </c>
      <c r="D657" s="915"/>
      <c r="E657" s="918"/>
      <c r="F657" s="996">
        <v>6275</v>
      </c>
      <c r="G657" s="918"/>
    </row>
    <row r="658" spans="1:7">
      <c r="A658" s="915" t="s">
        <v>3868</v>
      </c>
      <c r="B658" s="916" t="s">
        <v>5304</v>
      </c>
      <c r="C658" s="916" t="s">
        <v>4935</v>
      </c>
      <c r="D658" s="915" t="s">
        <v>4897</v>
      </c>
      <c r="E658" s="918"/>
      <c r="F658" s="917">
        <v>1000000</v>
      </c>
      <c r="G658" s="918"/>
    </row>
    <row r="659" spans="1:7">
      <c r="A659" s="915" t="s">
        <v>3868</v>
      </c>
      <c r="B659" s="916" t="s">
        <v>5322</v>
      </c>
      <c r="C659" s="916" t="s">
        <v>4935</v>
      </c>
      <c r="D659" s="915" t="s">
        <v>4897</v>
      </c>
      <c r="E659" s="918"/>
      <c r="F659" s="917">
        <v>286800</v>
      </c>
      <c r="G659" s="918"/>
    </row>
    <row r="660" spans="1:7">
      <c r="A660" s="915" t="s">
        <v>3868</v>
      </c>
      <c r="B660" s="916" t="s">
        <v>5322</v>
      </c>
      <c r="C660" s="916" t="s">
        <v>4949</v>
      </c>
      <c r="D660" s="915"/>
      <c r="E660" s="917">
        <v>13200</v>
      </c>
      <c r="F660" s="918"/>
      <c r="G660" s="918"/>
    </row>
    <row r="661" spans="1:7">
      <c r="A661" s="915" t="s">
        <v>3868</v>
      </c>
      <c r="B661" s="916" t="s">
        <v>5322</v>
      </c>
      <c r="C661" s="916" t="s">
        <v>4935</v>
      </c>
      <c r="D661" s="915" t="s">
        <v>4897</v>
      </c>
      <c r="E661" s="918"/>
      <c r="F661" s="917">
        <v>13200</v>
      </c>
      <c r="G661" s="918"/>
    </row>
    <row r="662" spans="1:7">
      <c r="A662" s="915" t="s">
        <v>3868</v>
      </c>
      <c r="B662" s="916" t="s">
        <v>5323</v>
      </c>
      <c r="C662" s="916" t="s">
        <v>4935</v>
      </c>
      <c r="D662" s="915" t="s">
        <v>4897</v>
      </c>
      <c r="E662" s="918"/>
      <c r="F662" s="917">
        <v>286800</v>
      </c>
      <c r="G662" s="918"/>
    </row>
    <row r="663" spans="1:7">
      <c r="A663" s="915" t="s">
        <v>3868</v>
      </c>
      <c r="B663" s="916" t="s">
        <v>5323</v>
      </c>
      <c r="C663" s="916" t="s">
        <v>4949</v>
      </c>
      <c r="D663" s="915"/>
      <c r="E663" s="917">
        <v>13200</v>
      </c>
      <c r="F663" s="918"/>
      <c r="G663" s="918"/>
    </row>
    <row r="664" spans="1:7">
      <c r="A664" s="915" t="s">
        <v>3868</v>
      </c>
      <c r="B664" s="916" t="s">
        <v>5323</v>
      </c>
      <c r="C664" s="916" t="s">
        <v>4935</v>
      </c>
      <c r="D664" s="915" t="s">
        <v>4897</v>
      </c>
      <c r="E664" s="918"/>
      <c r="F664" s="917">
        <v>13200</v>
      </c>
      <c r="G664" s="918"/>
    </row>
    <row r="665" spans="1:7">
      <c r="A665" s="915" t="s">
        <v>3868</v>
      </c>
      <c r="B665" s="916" t="s">
        <v>5324</v>
      </c>
      <c r="C665" s="916" t="s">
        <v>4257</v>
      </c>
      <c r="D665" s="915"/>
      <c r="E665" s="917">
        <v>68000</v>
      </c>
      <c r="F665" s="918"/>
      <c r="G665" s="918"/>
    </row>
    <row r="666" spans="1:7">
      <c r="A666" s="915" t="s">
        <v>3868</v>
      </c>
      <c r="B666" s="916" t="s">
        <v>5324</v>
      </c>
      <c r="C666" s="916" t="s">
        <v>4935</v>
      </c>
      <c r="D666" s="915" t="s">
        <v>4897</v>
      </c>
      <c r="E666" s="918"/>
      <c r="F666" s="917">
        <v>68000</v>
      </c>
      <c r="G666" s="918"/>
    </row>
    <row r="667" spans="1:7">
      <c r="A667" s="915" t="s">
        <v>3868</v>
      </c>
      <c r="B667" s="916" t="s">
        <v>5325</v>
      </c>
      <c r="C667" s="916" t="s">
        <v>4908</v>
      </c>
      <c r="D667" s="915" t="s">
        <v>4897</v>
      </c>
      <c r="E667" s="918"/>
      <c r="F667" s="917">
        <v>286800</v>
      </c>
      <c r="G667" s="918"/>
    </row>
    <row r="668" spans="1:7">
      <c r="A668" s="915" t="s">
        <v>3868</v>
      </c>
      <c r="B668" s="916" t="s">
        <v>5325</v>
      </c>
      <c r="C668" s="916" t="s">
        <v>4949</v>
      </c>
      <c r="D668" s="915"/>
      <c r="E668" s="917">
        <v>13200</v>
      </c>
      <c r="F668" s="918"/>
      <c r="G668" s="918"/>
    </row>
    <row r="669" spans="1:7">
      <c r="A669" s="995" t="s">
        <v>3589</v>
      </c>
      <c r="B669" s="995" t="s">
        <v>3590</v>
      </c>
      <c r="C669" s="995" t="s">
        <v>3592</v>
      </c>
      <c r="D669" s="995" t="s">
        <v>3593</v>
      </c>
      <c r="E669" s="995" t="s">
        <v>3594</v>
      </c>
      <c r="F669" s="995" t="s">
        <v>3030</v>
      </c>
      <c r="G669" s="995" t="s">
        <v>3595</v>
      </c>
    </row>
    <row r="670" spans="1:7">
      <c r="A670" s="915" t="s">
        <v>3868</v>
      </c>
      <c r="B670" s="916" t="s">
        <v>5325</v>
      </c>
      <c r="C670" s="916" t="s">
        <v>4908</v>
      </c>
      <c r="D670" s="915" t="s">
        <v>4897</v>
      </c>
      <c r="E670" s="918"/>
      <c r="F670" s="917">
        <v>13200</v>
      </c>
      <c r="G670" s="918"/>
    </row>
    <row r="671" spans="1:7">
      <c r="A671" s="915" t="s">
        <v>3868</v>
      </c>
      <c r="B671" s="916" t="s">
        <v>5326</v>
      </c>
      <c r="C671" s="916" t="s">
        <v>4908</v>
      </c>
      <c r="D671" s="915" t="s">
        <v>4897</v>
      </c>
      <c r="E671" s="918"/>
      <c r="F671" s="917">
        <v>12000</v>
      </c>
      <c r="G671" s="918"/>
    </row>
    <row r="672" spans="1:7" ht="33.75">
      <c r="A672" s="915" t="s">
        <v>3868</v>
      </c>
      <c r="B672" s="916" t="s">
        <v>5327</v>
      </c>
      <c r="C672" s="916" t="s">
        <v>4960</v>
      </c>
      <c r="D672" s="915"/>
      <c r="E672" s="918"/>
      <c r="F672" s="917">
        <v>4750000</v>
      </c>
      <c r="G672" s="918"/>
    </row>
    <row r="673" spans="1:7" ht="33.75">
      <c r="A673" s="915" t="s">
        <v>3868</v>
      </c>
      <c r="B673" s="916" t="s">
        <v>5327</v>
      </c>
      <c r="C673" s="916" t="s">
        <v>4960</v>
      </c>
      <c r="D673" s="915"/>
      <c r="E673" s="918"/>
      <c r="F673" s="917">
        <v>250000</v>
      </c>
      <c r="G673" s="918"/>
    </row>
    <row r="674" spans="1:7">
      <c r="A674" s="915" t="s">
        <v>3868</v>
      </c>
      <c r="B674" s="916" t="s">
        <v>5328</v>
      </c>
      <c r="C674" s="916" t="s">
        <v>4401</v>
      </c>
      <c r="D674" s="915"/>
      <c r="E674" s="917">
        <v>9760</v>
      </c>
      <c r="F674" s="918"/>
      <c r="G674" s="918"/>
    </row>
    <row r="675" spans="1:7">
      <c r="A675" s="915" t="s">
        <v>3868</v>
      </c>
      <c r="B675" s="916" t="s">
        <v>5329</v>
      </c>
      <c r="C675" s="916" t="s">
        <v>4992</v>
      </c>
      <c r="D675" s="915"/>
      <c r="E675" s="918"/>
      <c r="F675" s="917">
        <v>-270360</v>
      </c>
      <c r="G675" s="918"/>
    </row>
    <row r="676" spans="1:7">
      <c r="A676" s="915" t="s">
        <v>3868</v>
      </c>
      <c r="B676" s="916" t="s">
        <v>5329</v>
      </c>
      <c r="C676" s="916" t="s">
        <v>4992</v>
      </c>
      <c r="D676" s="915"/>
      <c r="E676" s="918"/>
      <c r="F676" s="917">
        <v>-30700</v>
      </c>
      <c r="G676" s="918"/>
    </row>
    <row r="677" spans="1:7">
      <c r="A677" s="915" t="s">
        <v>3868</v>
      </c>
      <c r="B677" s="916" t="s">
        <v>5329</v>
      </c>
      <c r="C677" s="916" t="s">
        <v>4992</v>
      </c>
      <c r="D677" s="915"/>
      <c r="E677" s="918"/>
      <c r="F677" s="917">
        <v>-33400</v>
      </c>
      <c r="G677" s="917">
        <v>1164337675</v>
      </c>
    </row>
    <row r="678" spans="1:7" ht="22.5">
      <c r="A678" s="915" t="s">
        <v>3332</v>
      </c>
      <c r="B678" s="916" t="s">
        <v>5330</v>
      </c>
      <c r="C678" s="916" t="s">
        <v>4933</v>
      </c>
      <c r="D678" s="915"/>
      <c r="E678" s="917">
        <v>111070</v>
      </c>
      <c r="F678" s="918"/>
      <c r="G678" s="918"/>
    </row>
    <row r="679" spans="1:7" ht="22.5">
      <c r="A679" s="915" t="s">
        <v>3332</v>
      </c>
      <c r="B679" s="916" t="s">
        <v>5330</v>
      </c>
      <c r="C679" s="916" t="s">
        <v>5037</v>
      </c>
      <c r="D679" s="915"/>
      <c r="E679" s="918"/>
      <c r="F679" s="917">
        <v>111070</v>
      </c>
      <c r="G679" s="918"/>
    </row>
    <row r="680" spans="1:7">
      <c r="A680" s="915" t="s">
        <v>3332</v>
      </c>
      <c r="B680" s="916" t="s">
        <v>5331</v>
      </c>
      <c r="C680" s="916" t="s">
        <v>4983</v>
      </c>
      <c r="D680" s="915"/>
      <c r="E680" s="918"/>
      <c r="F680" s="917">
        <v>4702730</v>
      </c>
      <c r="G680" s="918"/>
    </row>
    <row r="681" spans="1:7" ht="22.5">
      <c r="A681" s="915" t="s">
        <v>3332</v>
      </c>
      <c r="B681" s="916" t="s">
        <v>5332</v>
      </c>
      <c r="C681" s="916" t="s">
        <v>4983</v>
      </c>
      <c r="D681" s="915"/>
      <c r="E681" s="918"/>
      <c r="F681" s="917">
        <v>2073003</v>
      </c>
      <c r="G681" s="918"/>
    </row>
    <row r="682" spans="1:7" ht="22.5">
      <c r="A682" s="915" t="s">
        <v>3332</v>
      </c>
      <c r="B682" s="916" t="s">
        <v>5333</v>
      </c>
      <c r="C682" s="916" t="s">
        <v>4933</v>
      </c>
      <c r="D682" s="915"/>
      <c r="E682" s="917">
        <v>950</v>
      </c>
      <c r="F682" s="918"/>
      <c r="G682" s="918"/>
    </row>
    <row r="683" spans="1:7" ht="22.5">
      <c r="A683" s="915" t="s">
        <v>3332</v>
      </c>
      <c r="B683" s="916" t="s">
        <v>5333</v>
      </c>
      <c r="C683" s="916" t="s">
        <v>4983</v>
      </c>
      <c r="D683" s="915"/>
      <c r="E683" s="918"/>
      <c r="F683" s="917">
        <v>950</v>
      </c>
      <c r="G683" s="918"/>
    </row>
    <row r="684" spans="1:7" ht="22.5">
      <c r="A684" s="915" t="s">
        <v>3332</v>
      </c>
      <c r="B684" s="916" t="s">
        <v>5334</v>
      </c>
      <c r="C684" s="916" t="s">
        <v>4983</v>
      </c>
      <c r="D684" s="915"/>
      <c r="E684" s="918"/>
      <c r="F684" s="917">
        <v>5976</v>
      </c>
      <c r="G684" s="918"/>
    </row>
    <row r="685" spans="1:7" ht="22.5">
      <c r="A685" s="915" t="s">
        <v>3332</v>
      </c>
      <c r="B685" s="916" t="s">
        <v>5335</v>
      </c>
      <c r="C685" s="916" t="s">
        <v>4983</v>
      </c>
      <c r="D685" s="915"/>
      <c r="E685" s="918"/>
      <c r="F685" s="917">
        <v>34200</v>
      </c>
      <c r="G685" s="918"/>
    </row>
    <row r="686" spans="1:7" ht="22.5">
      <c r="A686" s="915" t="s">
        <v>3332</v>
      </c>
      <c r="B686" s="916" t="s">
        <v>5335</v>
      </c>
      <c r="C686" s="916" t="s">
        <v>4933</v>
      </c>
      <c r="D686" s="915"/>
      <c r="E686" s="917">
        <v>411630</v>
      </c>
      <c r="F686" s="918"/>
      <c r="G686" s="918"/>
    </row>
    <row r="687" spans="1:7" ht="22.5">
      <c r="A687" s="915" t="s">
        <v>3332</v>
      </c>
      <c r="B687" s="916" t="s">
        <v>5335</v>
      </c>
      <c r="C687" s="916" t="s">
        <v>4983</v>
      </c>
      <c r="D687" s="915"/>
      <c r="E687" s="918"/>
      <c r="F687" s="917">
        <v>411630</v>
      </c>
      <c r="G687" s="918"/>
    </row>
    <row r="688" spans="1:7">
      <c r="A688" s="915" t="s">
        <v>3332</v>
      </c>
      <c r="B688" s="916" t="s">
        <v>4758</v>
      </c>
      <c r="C688" s="916" t="s">
        <v>4942</v>
      </c>
      <c r="D688" s="915"/>
      <c r="E688" s="918"/>
      <c r="F688" s="996">
        <v>1050000</v>
      </c>
      <c r="G688" s="918"/>
    </row>
    <row r="689" spans="1:7">
      <c r="A689" s="915" t="s">
        <v>3332</v>
      </c>
      <c r="B689" s="916" t="s">
        <v>5295</v>
      </c>
      <c r="C689" s="916" t="s">
        <v>4992</v>
      </c>
      <c r="D689" s="915"/>
      <c r="E689" s="918"/>
      <c r="F689" s="996">
        <v>107400</v>
      </c>
      <c r="G689" s="918"/>
    </row>
    <row r="690" spans="1:7">
      <c r="A690" s="915" t="s">
        <v>3332</v>
      </c>
      <c r="B690" s="916" t="s">
        <v>5336</v>
      </c>
      <c r="C690" s="916" t="s">
        <v>4257</v>
      </c>
      <c r="D690" s="915"/>
      <c r="E690" s="917">
        <v>250000</v>
      </c>
      <c r="F690" s="918"/>
      <c r="G690" s="918"/>
    </row>
    <row r="691" spans="1:7">
      <c r="A691" s="915" t="s">
        <v>3332</v>
      </c>
      <c r="B691" s="916" t="s">
        <v>5337</v>
      </c>
      <c r="C691" s="916" t="s">
        <v>4992</v>
      </c>
      <c r="D691" s="915"/>
      <c r="E691" s="918"/>
      <c r="F691" s="996">
        <v>2965800</v>
      </c>
      <c r="G691" s="918"/>
    </row>
    <row r="692" spans="1:7">
      <c r="A692" s="915" t="s">
        <v>3332</v>
      </c>
      <c r="B692" s="916" t="s">
        <v>5337</v>
      </c>
      <c r="C692" s="916" t="s">
        <v>4992</v>
      </c>
      <c r="D692" s="915"/>
      <c r="E692" s="918"/>
      <c r="F692" s="996">
        <v>661740</v>
      </c>
      <c r="G692" s="918"/>
    </row>
    <row r="693" spans="1:7">
      <c r="A693" s="915" t="s">
        <v>3332</v>
      </c>
      <c r="B693" s="916" t="s">
        <v>5337</v>
      </c>
      <c r="C693" s="916" t="s">
        <v>4992</v>
      </c>
      <c r="D693" s="915"/>
      <c r="E693" s="918"/>
      <c r="F693" s="996">
        <v>13460</v>
      </c>
      <c r="G693" s="918"/>
    </row>
    <row r="694" spans="1:7">
      <c r="A694" s="915" t="s">
        <v>3332</v>
      </c>
      <c r="B694" s="916" t="s">
        <v>5338</v>
      </c>
      <c r="C694" s="916" t="s">
        <v>4992</v>
      </c>
      <c r="D694" s="915"/>
      <c r="E694" s="918"/>
      <c r="F694" s="996">
        <v>205730</v>
      </c>
      <c r="G694" s="918"/>
    </row>
    <row r="695" spans="1:7">
      <c r="A695" s="915" t="s">
        <v>3332</v>
      </c>
      <c r="B695" s="916" t="s">
        <v>5338</v>
      </c>
      <c r="C695" s="916" t="s">
        <v>4992</v>
      </c>
      <c r="D695" s="915"/>
      <c r="E695" s="918"/>
      <c r="F695" s="996">
        <v>2494000</v>
      </c>
      <c r="G695" s="918"/>
    </row>
    <row r="696" spans="1:7">
      <c r="A696" s="915" t="s">
        <v>3332</v>
      </c>
      <c r="B696" s="916" t="s">
        <v>5338</v>
      </c>
      <c r="C696" s="916" t="s">
        <v>4992</v>
      </c>
      <c r="D696" s="915"/>
      <c r="E696" s="918"/>
      <c r="F696" s="996">
        <v>255970</v>
      </c>
      <c r="G696" s="918"/>
    </row>
    <row r="697" spans="1:7">
      <c r="A697" s="915" t="s">
        <v>3332</v>
      </c>
      <c r="B697" s="916" t="s">
        <v>5339</v>
      </c>
      <c r="C697" s="916" t="s">
        <v>4999</v>
      </c>
      <c r="D697" s="915" t="s">
        <v>4897</v>
      </c>
      <c r="E697" s="918"/>
      <c r="F697" s="996">
        <v>134500</v>
      </c>
      <c r="G697" s="918"/>
    </row>
    <row r="698" spans="1:7">
      <c r="A698" s="915" t="s">
        <v>3332</v>
      </c>
      <c r="B698" s="916" t="s">
        <v>5339</v>
      </c>
      <c r="C698" s="916" t="s">
        <v>4917</v>
      </c>
      <c r="D698" s="915" t="s">
        <v>4918</v>
      </c>
      <c r="E698" s="917">
        <v>158000</v>
      </c>
      <c r="F698" s="918"/>
      <c r="G698" s="918"/>
    </row>
    <row r="699" spans="1:7">
      <c r="A699" s="915" t="s">
        <v>3332</v>
      </c>
      <c r="B699" s="916" t="s">
        <v>5339</v>
      </c>
      <c r="C699" s="916" t="s">
        <v>4999</v>
      </c>
      <c r="D699" s="915" t="s">
        <v>4897</v>
      </c>
      <c r="E699" s="918"/>
      <c r="F699" s="996">
        <v>158000</v>
      </c>
      <c r="G699" s="918"/>
    </row>
    <row r="700" spans="1:7">
      <c r="A700" s="915" t="s">
        <v>3332</v>
      </c>
      <c r="B700" s="916" t="s">
        <v>5340</v>
      </c>
      <c r="C700" s="916" t="s">
        <v>4903</v>
      </c>
      <c r="D700" s="915"/>
      <c r="E700" s="918"/>
      <c r="F700" s="917">
        <v>8600</v>
      </c>
      <c r="G700" s="918"/>
    </row>
    <row r="701" spans="1:7">
      <c r="A701" s="915" t="s">
        <v>3332</v>
      </c>
      <c r="B701" s="916" t="s">
        <v>4973</v>
      </c>
      <c r="C701" s="916" t="s">
        <v>4257</v>
      </c>
      <c r="D701" s="915"/>
      <c r="E701" s="918"/>
      <c r="F701" s="917">
        <v>200000</v>
      </c>
      <c r="G701" s="918"/>
    </row>
    <row r="702" spans="1:7">
      <c r="A702" s="915" t="s">
        <v>3332</v>
      </c>
      <c r="B702" s="916" t="s">
        <v>4759</v>
      </c>
      <c r="C702" s="916" t="s">
        <v>4942</v>
      </c>
      <c r="D702" s="915"/>
      <c r="E702" s="918"/>
      <c r="F702" s="996">
        <v>1265000</v>
      </c>
      <c r="G702" s="918"/>
    </row>
    <row r="703" spans="1:7">
      <c r="A703" s="915" t="s">
        <v>3332</v>
      </c>
      <c r="B703" s="916" t="s">
        <v>5341</v>
      </c>
      <c r="C703" s="916" t="s">
        <v>4917</v>
      </c>
      <c r="D703" s="915" t="s">
        <v>4918</v>
      </c>
      <c r="E703" s="917">
        <v>53600</v>
      </c>
      <c r="F703" s="918"/>
      <c r="G703" s="918"/>
    </row>
    <row r="704" spans="1:7">
      <c r="A704" s="915" t="s">
        <v>3332</v>
      </c>
      <c r="B704" s="916" t="s">
        <v>5341</v>
      </c>
      <c r="C704" s="916" t="s">
        <v>4992</v>
      </c>
      <c r="D704" s="915"/>
      <c r="E704" s="918"/>
      <c r="F704" s="996">
        <v>53600</v>
      </c>
      <c r="G704" s="918"/>
    </row>
    <row r="705" spans="1:7">
      <c r="A705" s="915" t="s">
        <v>3332</v>
      </c>
      <c r="B705" s="916" t="s">
        <v>5342</v>
      </c>
      <c r="C705" s="916" t="s">
        <v>4992</v>
      </c>
      <c r="D705" s="915"/>
      <c r="E705" s="918"/>
      <c r="F705" s="996">
        <v>43130</v>
      </c>
      <c r="G705" s="918"/>
    </row>
    <row r="706" spans="1:7">
      <c r="A706" s="915" t="s">
        <v>3332</v>
      </c>
      <c r="B706" s="916" t="s">
        <v>4649</v>
      </c>
      <c r="C706" s="916" t="s">
        <v>4917</v>
      </c>
      <c r="D706" s="915" t="s">
        <v>4918</v>
      </c>
      <c r="E706" s="917">
        <v>29050</v>
      </c>
      <c r="F706" s="918"/>
      <c r="G706" s="918"/>
    </row>
    <row r="707" spans="1:7">
      <c r="A707" s="915" t="s">
        <v>3332</v>
      </c>
      <c r="B707" s="916" t="s">
        <v>4649</v>
      </c>
      <c r="C707" s="916" t="s">
        <v>4992</v>
      </c>
      <c r="D707" s="915"/>
      <c r="E707" s="918"/>
      <c r="F707" s="917">
        <v>29050</v>
      </c>
      <c r="G707" s="918"/>
    </row>
    <row r="708" spans="1:7">
      <c r="A708" s="915" t="s">
        <v>3332</v>
      </c>
      <c r="B708" s="916" t="s">
        <v>5343</v>
      </c>
      <c r="C708" s="916" t="s">
        <v>4257</v>
      </c>
      <c r="D708" s="915"/>
      <c r="E708" s="917">
        <v>43130</v>
      </c>
      <c r="F708" s="918"/>
      <c r="G708" s="918"/>
    </row>
    <row r="709" spans="1:7">
      <c r="A709" s="915" t="s">
        <v>3332</v>
      </c>
      <c r="B709" s="916" t="s">
        <v>4649</v>
      </c>
      <c r="C709" s="916" t="s">
        <v>4933</v>
      </c>
      <c r="D709" s="915"/>
      <c r="E709" s="917">
        <v>7968</v>
      </c>
      <c r="F709" s="918"/>
      <c r="G709" s="918"/>
    </row>
    <row r="710" spans="1:7">
      <c r="A710" s="915" t="s">
        <v>3332</v>
      </c>
      <c r="B710" s="916" t="s">
        <v>4649</v>
      </c>
      <c r="C710" s="916" t="s">
        <v>4992</v>
      </c>
      <c r="D710" s="915"/>
      <c r="E710" s="918"/>
      <c r="F710" s="917">
        <v>7968</v>
      </c>
      <c r="G710" s="918"/>
    </row>
    <row r="711" spans="1:7" ht="22.5">
      <c r="A711" s="915" t="s">
        <v>3332</v>
      </c>
      <c r="B711" s="916" t="s">
        <v>5344</v>
      </c>
      <c r="C711" s="916" t="s">
        <v>5052</v>
      </c>
      <c r="D711" s="915"/>
      <c r="E711" s="918"/>
      <c r="F711" s="917">
        <v>16000</v>
      </c>
      <c r="G711" s="918"/>
    </row>
    <row r="712" spans="1:7">
      <c r="A712" s="915" t="s">
        <v>3332</v>
      </c>
      <c r="B712" s="916" t="s">
        <v>5345</v>
      </c>
      <c r="C712" s="916" t="s">
        <v>4401</v>
      </c>
      <c r="D712" s="915"/>
      <c r="E712" s="917">
        <v>19760</v>
      </c>
      <c r="F712" s="918"/>
      <c r="G712" s="918"/>
    </row>
    <row r="713" spans="1:7">
      <c r="A713" s="995" t="s">
        <v>3589</v>
      </c>
      <c r="B713" s="995" t="s">
        <v>3590</v>
      </c>
      <c r="C713" s="995" t="s">
        <v>3592</v>
      </c>
      <c r="D713" s="995" t="s">
        <v>3593</v>
      </c>
      <c r="E713" s="995" t="s">
        <v>3594</v>
      </c>
      <c r="F713" s="995" t="s">
        <v>3030</v>
      </c>
      <c r="G713" s="995" t="s">
        <v>3595</v>
      </c>
    </row>
    <row r="714" spans="1:7">
      <c r="A714" s="915" t="s">
        <v>3332</v>
      </c>
      <c r="B714" s="916" t="s">
        <v>5346</v>
      </c>
      <c r="C714" s="916" t="s">
        <v>4580</v>
      </c>
      <c r="D714" s="915"/>
      <c r="E714" s="917">
        <v>10000</v>
      </c>
      <c r="F714" s="918"/>
      <c r="G714" s="918"/>
    </row>
    <row r="715" spans="1:7">
      <c r="A715" s="915" t="s">
        <v>3332</v>
      </c>
      <c r="B715" s="916" t="s">
        <v>5347</v>
      </c>
      <c r="C715" s="916" t="s">
        <v>5017</v>
      </c>
      <c r="D715" s="915"/>
      <c r="E715" s="917">
        <v>400000</v>
      </c>
      <c r="F715" s="918"/>
      <c r="G715" s="918"/>
    </row>
    <row r="716" spans="1:7">
      <c r="A716" s="915" t="s">
        <v>3332</v>
      </c>
      <c r="B716" s="916" t="s">
        <v>5348</v>
      </c>
      <c r="C716" s="916" t="s">
        <v>4555</v>
      </c>
      <c r="D716" s="915"/>
      <c r="E716" s="917">
        <v>10000</v>
      </c>
      <c r="F716" s="918"/>
      <c r="G716" s="918"/>
    </row>
    <row r="717" spans="1:7">
      <c r="A717" s="915" t="s">
        <v>3332</v>
      </c>
      <c r="B717" s="916" t="s">
        <v>5337</v>
      </c>
      <c r="C717" s="916" t="s">
        <v>4935</v>
      </c>
      <c r="D717" s="915" t="s">
        <v>4897</v>
      </c>
      <c r="E717" s="918"/>
      <c r="F717" s="917">
        <v>4450600</v>
      </c>
      <c r="G717" s="918"/>
    </row>
    <row r="718" spans="1:7">
      <c r="A718" s="915" t="s">
        <v>3332</v>
      </c>
      <c r="B718" s="916" t="s">
        <v>5349</v>
      </c>
      <c r="C718" s="916" t="s">
        <v>4935</v>
      </c>
      <c r="D718" s="915" t="s">
        <v>4897</v>
      </c>
      <c r="E718" s="918"/>
      <c r="F718" s="917">
        <v>114900</v>
      </c>
      <c r="G718" s="918"/>
    </row>
    <row r="719" spans="1:7">
      <c r="A719" s="915" t="s">
        <v>3332</v>
      </c>
      <c r="B719" s="916" t="s">
        <v>5349</v>
      </c>
      <c r="C719" s="916" t="s">
        <v>4935</v>
      </c>
      <c r="D719" s="915" t="s">
        <v>4897</v>
      </c>
      <c r="E719" s="918"/>
      <c r="F719" s="917">
        <v>64100</v>
      </c>
      <c r="G719" s="918"/>
    </row>
    <row r="720" spans="1:7">
      <c r="A720" s="915" t="s">
        <v>3332</v>
      </c>
      <c r="B720" s="916" t="s">
        <v>5349</v>
      </c>
      <c r="C720" s="916" t="s">
        <v>4935</v>
      </c>
      <c r="D720" s="915" t="s">
        <v>4897</v>
      </c>
      <c r="E720" s="918"/>
      <c r="F720" s="917">
        <v>193240</v>
      </c>
      <c r="G720" s="918"/>
    </row>
    <row r="721" spans="1:7">
      <c r="A721" s="915" t="s">
        <v>3332</v>
      </c>
      <c r="B721" s="916" t="s">
        <v>5350</v>
      </c>
      <c r="C721" s="916" t="s">
        <v>4908</v>
      </c>
      <c r="D721" s="915" t="s">
        <v>4897</v>
      </c>
      <c r="E721" s="918"/>
      <c r="F721" s="917">
        <v>600000</v>
      </c>
      <c r="G721" s="918"/>
    </row>
    <row r="722" spans="1:7">
      <c r="A722" s="915" t="s">
        <v>3332</v>
      </c>
      <c r="B722" s="916" t="s">
        <v>5351</v>
      </c>
      <c r="C722" s="916" t="s">
        <v>4908</v>
      </c>
      <c r="D722" s="915" t="s">
        <v>4897</v>
      </c>
      <c r="E722" s="918"/>
      <c r="F722" s="917">
        <v>27760</v>
      </c>
      <c r="G722" s="918"/>
    </row>
    <row r="723" spans="1:7">
      <c r="A723" s="915" t="s">
        <v>3332</v>
      </c>
      <c r="B723" s="916" t="s">
        <v>5352</v>
      </c>
      <c r="C723" s="916" t="s">
        <v>4940</v>
      </c>
      <c r="D723" s="915"/>
      <c r="E723" s="918"/>
      <c r="F723" s="996">
        <v>28900</v>
      </c>
      <c r="G723" s="918"/>
    </row>
    <row r="724" spans="1:7">
      <c r="A724" s="915" t="s">
        <v>3332</v>
      </c>
      <c r="B724" s="916" t="s">
        <v>5352</v>
      </c>
      <c r="C724" s="916" t="s">
        <v>4257</v>
      </c>
      <c r="D724" s="915"/>
      <c r="E724" s="917">
        <v>9000</v>
      </c>
      <c r="F724" s="918"/>
      <c r="G724" s="918"/>
    </row>
    <row r="725" spans="1:7">
      <c r="A725" s="915" t="s">
        <v>3332</v>
      </c>
      <c r="B725" s="916" t="s">
        <v>5352</v>
      </c>
      <c r="C725" s="916" t="s">
        <v>4940</v>
      </c>
      <c r="D725" s="915"/>
      <c r="E725" s="918"/>
      <c r="F725" s="996">
        <v>9000</v>
      </c>
      <c r="G725" s="918"/>
    </row>
    <row r="726" spans="1:7">
      <c r="A726" s="915" t="s">
        <v>3332</v>
      </c>
      <c r="B726" s="916" t="s">
        <v>5352</v>
      </c>
      <c r="C726" s="916" t="s">
        <v>4940</v>
      </c>
      <c r="D726" s="915"/>
      <c r="E726" s="918"/>
      <c r="F726" s="996">
        <v>31420</v>
      </c>
      <c r="G726" s="918"/>
    </row>
    <row r="727" spans="1:7">
      <c r="A727" s="915" t="s">
        <v>3332</v>
      </c>
      <c r="B727" s="916" t="s">
        <v>5352</v>
      </c>
      <c r="C727" s="916" t="s">
        <v>4257</v>
      </c>
      <c r="D727" s="915"/>
      <c r="E727" s="917">
        <v>12000</v>
      </c>
      <c r="F727" s="918"/>
      <c r="G727" s="918"/>
    </row>
    <row r="728" spans="1:7">
      <c r="A728" s="915" t="s">
        <v>3332</v>
      </c>
      <c r="B728" s="916" t="s">
        <v>5352</v>
      </c>
      <c r="C728" s="916" t="s">
        <v>4940</v>
      </c>
      <c r="D728" s="915"/>
      <c r="E728" s="918"/>
      <c r="F728" s="996">
        <v>12000</v>
      </c>
      <c r="G728" s="918"/>
    </row>
    <row r="729" spans="1:7">
      <c r="A729" s="915" t="s">
        <v>3332</v>
      </c>
      <c r="B729" s="916" t="s">
        <v>5353</v>
      </c>
      <c r="C729" s="916" t="s">
        <v>4908</v>
      </c>
      <c r="D729" s="915" t="s">
        <v>4897</v>
      </c>
      <c r="E729" s="918"/>
      <c r="F729" s="917">
        <v>573600</v>
      </c>
      <c r="G729" s="918"/>
    </row>
    <row r="730" spans="1:7">
      <c r="A730" s="915" t="s">
        <v>3332</v>
      </c>
      <c r="B730" s="916" t="s">
        <v>5353</v>
      </c>
      <c r="C730" s="916" t="s">
        <v>4949</v>
      </c>
      <c r="D730" s="915"/>
      <c r="E730" s="917">
        <v>26400</v>
      </c>
      <c r="F730" s="918"/>
      <c r="G730" s="918"/>
    </row>
    <row r="731" spans="1:7">
      <c r="A731" s="915" t="s">
        <v>3332</v>
      </c>
      <c r="B731" s="916" t="s">
        <v>5353</v>
      </c>
      <c r="C731" s="916" t="s">
        <v>4908</v>
      </c>
      <c r="D731" s="915" t="s">
        <v>4897</v>
      </c>
      <c r="E731" s="918"/>
      <c r="F731" s="917">
        <v>26400</v>
      </c>
      <c r="G731" s="918"/>
    </row>
    <row r="732" spans="1:7">
      <c r="A732" s="915" t="s">
        <v>3332</v>
      </c>
      <c r="B732" s="916" t="s">
        <v>5354</v>
      </c>
      <c r="C732" s="916" t="s">
        <v>4940</v>
      </c>
      <c r="D732" s="915"/>
      <c r="E732" s="918"/>
      <c r="F732" s="996">
        <v>544600</v>
      </c>
      <c r="G732" s="918"/>
    </row>
    <row r="733" spans="1:7">
      <c r="A733" s="915" t="s">
        <v>3332</v>
      </c>
      <c r="B733" s="916" t="s">
        <v>5354</v>
      </c>
      <c r="C733" s="916" t="s">
        <v>4940</v>
      </c>
      <c r="D733" s="915"/>
      <c r="E733" s="918"/>
      <c r="F733" s="996">
        <v>23000</v>
      </c>
      <c r="G733" s="918"/>
    </row>
    <row r="734" spans="1:7">
      <c r="A734" s="915" t="s">
        <v>3332</v>
      </c>
      <c r="B734" s="916" t="s">
        <v>5354</v>
      </c>
      <c r="C734" s="916" t="s">
        <v>4933</v>
      </c>
      <c r="D734" s="915"/>
      <c r="E734" s="917">
        <v>277550</v>
      </c>
      <c r="F734" s="918"/>
      <c r="G734" s="918"/>
    </row>
    <row r="735" spans="1:7">
      <c r="A735" s="915" t="s">
        <v>3332</v>
      </c>
      <c r="B735" s="916" t="s">
        <v>5354</v>
      </c>
      <c r="C735" s="916" t="s">
        <v>4940</v>
      </c>
      <c r="D735" s="915"/>
      <c r="E735" s="918"/>
      <c r="F735" s="996">
        <v>277550</v>
      </c>
      <c r="G735" s="918"/>
    </row>
    <row r="736" spans="1:7">
      <c r="A736" s="915" t="s">
        <v>3332</v>
      </c>
      <c r="B736" s="916" t="s">
        <v>5355</v>
      </c>
      <c r="C736" s="916" t="s">
        <v>4933</v>
      </c>
      <c r="D736" s="915"/>
      <c r="E736" s="917">
        <v>375500</v>
      </c>
      <c r="F736" s="918"/>
      <c r="G736" s="918"/>
    </row>
    <row r="737" spans="1:7">
      <c r="A737" s="915" t="s">
        <v>3332</v>
      </c>
      <c r="B737" s="916" t="s">
        <v>5355</v>
      </c>
      <c r="C737" s="916" t="s">
        <v>4931</v>
      </c>
      <c r="D737" s="915"/>
      <c r="E737" s="918"/>
      <c r="F737" s="996">
        <v>375500</v>
      </c>
      <c r="G737" s="918"/>
    </row>
    <row r="738" spans="1:7">
      <c r="A738" s="915" t="s">
        <v>3332</v>
      </c>
      <c r="B738" s="916" t="s">
        <v>5355</v>
      </c>
      <c r="C738" s="916" t="s">
        <v>4257</v>
      </c>
      <c r="D738" s="915"/>
      <c r="E738" s="917">
        <v>20000</v>
      </c>
      <c r="F738" s="918"/>
      <c r="G738" s="918"/>
    </row>
    <row r="739" spans="1:7">
      <c r="A739" s="915" t="s">
        <v>3332</v>
      </c>
      <c r="B739" s="916" t="s">
        <v>5355</v>
      </c>
      <c r="C739" s="916" t="s">
        <v>4931</v>
      </c>
      <c r="D739" s="915"/>
      <c r="E739" s="918"/>
      <c r="F739" s="917">
        <v>20000</v>
      </c>
      <c r="G739" s="918"/>
    </row>
    <row r="740" spans="1:7">
      <c r="A740" s="915" t="s">
        <v>3332</v>
      </c>
      <c r="B740" s="916" t="s">
        <v>5355</v>
      </c>
      <c r="C740" s="916" t="s">
        <v>4933</v>
      </c>
      <c r="D740" s="915"/>
      <c r="E740" s="917">
        <v>718640</v>
      </c>
      <c r="F740" s="918"/>
      <c r="G740" s="918"/>
    </row>
    <row r="741" spans="1:7">
      <c r="A741" s="915" t="s">
        <v>3332</v>
      </c>
      <c r="B741" s="916" t="s">
        <v>5355</v>
      </c>
      <c r="C741" s="916" t="s">
        <v>4931</v>
      </c>
      <c r="D741" s="915"/>
      <c r="E741" s="918"/>
      <c r="F741" s="996">
        <v>718640</v>
      </c>
      <c r="G741" s="918"/>
    </row>
    <row r="742" spans="1:7">
      <c r="A742" s="915" t="s">
        <v>3332</v>
      </c>
      <c r="B742" s="916" t="s">
        <v>5356</v>
      </c>
      <c r="C742" s="916" t="s">
        <v>4942</v>
      </c>
      <c r="D742" s="915"/>
      <c r="E742" s="917">
        <v>2420000</v>
      </c>
      <c r="F742" s="918"/>
      <c r="G742" s="918"/>
    </row>
    <row r="743" spans="1:7">
      <c r="A743" s="915" t="s">
        <v>3332</v>
      </c>
      <c r="B743" s="916" t="s">
        <v>5357</v>
      </c>
      <c r="C743" s="916" t="s">
        <v>4942</v>
      </c>
      <c r="D743" s="915"/>
      <c r="E743" s="917">
        <v>75160</v>
      </c>
      <c r="F743" s="918"/>
      <c r="G743" s="918"/>
    </row>
    <row r="744" spans="1:7">
      <c r="A744" s="915" t="s">
        <v>3332</v>
      </c>
      <c r="B744" s="916" t="s">
        <v>5357</v>
      </c>
      <c r="C744" s="916" t="s">
        <v>4942</v>
      </c>
      <c r="D744" s="915"/>
      <c r="E744" s="917">
        <v>220000</v>
      </c>
      <c r="F744" s="918"/>
      <c r="G744" s="918"/>
    </row>
    <row r="745" spans="1:7">
      <c r="A745" s="915" t="s">
        <v>3332</v>
      </c>
      <c r="B745" s="916" t="s">
        <v>5358</v>
      </c>
      <c r="C745" s="916" t="s">
        <v>4942</v>
      </c>
      <c r="D745" s="915"/>
      <c r="E745" s="917">
        <v>5269999</v>
      </c>
      <c r="F745" s="918"/>
      <c r="G745" s="918"/>
    </row>
    <row r="746" spans="1:7">
      <c r="A746" s="915" t="s">
        <v>3332</v>
      </c>
      <c r="B746" s="916" t="s">
        <v>5359</v>
      </c>
      <c r="C746" s="916" t="s">
        <v>4942</v>
      </c>
      <c r="D746" s="915"/>
      <c r="E746" s="917">
        <v>150320</v>
      </c>
      <c r="F746" s="918"/>
      <c r="G746" s="918"/>
    </row>
    <row r="747" spans="1:7">
      <c r="A747" s="915" t="s">
        <v>3332</v>
      </c>
      <c r="B747" s="916" t="s">
        <v>5360</v>
      </c>
      <c r="C747" s="916" t="s">
        <v>4898</v>
      </c>
      <c r="D747" s="915"/>
      <c r="E747" s="917">
        <v>30000</v>
      </c>
      <c r="F747" s="918"/>
      <c r="G747" s="918"/>
    </row>
    <row r="748" spans="1:7">
      <c r="A748" s="915" t="s">
        <v>3332</v>
      </c>
      <c r="B748" s="916" t="s">
        <v>5361</v>
      </c>
      <c r="C748" s="916" t="s">
        <v>4992</v>
      </c>
      <c r="D748" s="915"/>
      <c r="E748" s="918"/>
      <c r="F748" s="917">
        <v>700</v>
      </c>
      <c r="G748" s="918"/>
    </row>
    <row r="749" spans="1:7">
      <c r="A749" s="915" t="s">
        <v>3332</v>
      </c>
      <c r="B749" s="916" t="s">
        <v>3628</v>
      </c>
      <c r="C749" s="916" t="s">
        <v>4257</v>
      </c>
      <c r="D749" s="915"/>
      <c r="E749" s="917">
        <v>700</v>
      </c>
      <c r="F749" s="918"/>
      <c r="G749" s="918"/>
    </row>
    <row r="750" spans="1:7">
      <c r="A750" s="915" t="s">
        <v>3332</v>
      </c>
      <c r="B750" s="916" t="s">
        <v>5362</v>
      </c>
      <c r="C750" s="916" t="s">
        <v>4501</v>
      </c>
      <c r="D750" s="915"/>
      <c r="E750" s="917">
        <v>110000</v>
      </c>
      <c r="F750" s="918"/>
      <c r="G750" s="918"/>
    </row>
    <row r="751" spans="1:7">
      <c r="A751" s="915" t="s">
        <v>3332</v>
      </c>
      <c r="B751" s="916" t="s">
        <v>5362</v>
      </c>
      <c r="C751" s="916" t="s">
        <v>4906</v>
      </c>
      <c r="D751" s="915"/>
      <c r="E751" s="918"/>
      <c r="F751" s="917">
        <v>110000</v>
      </c>
      <c r="G751" s="918"/>
    </row>
    <row r="752" spans="1:7">
      <c r="A752" s="915" t="s">
        <v>3332</v>
      </c>
      <c r="B752" s="916" t="s">
        <v>5362</v>
      </c>
      <c r="C752" s="916" t="s">
        <v>4501</v>
      </c>
      <c r="D752" s="915"/>
      <c r="E752" s="917">
        <v>10000</v>
      </c>
      <c r="F752" s="918"/>
      <c r="G752" s="918"/>
    </row>
    <row r="753" spans="1:7">
      <c r="A753" s="915" t="s">
        <v>3332</v>
      </c>
      <c r="B753" s="916" t="s">
        <v>5362</v>
      </c>
      <c r="C753" s="916" t="s">
        <v>5264</v>
      </c>
      <c r="D753" s="915"/>
      <c r="E753" s="918"/>
      <c r="F753" s="917">
        <v>10000</v>
      </c>
      <c r="G753" s="918"/>
    </row>
    <row r="754" spans="1:7">
      <c r="A754" s="915" t="s">
        <v>3332</v>
      </c>
      <c r="B754" s="916" t="s">
        <v>5362</v>
      </c>
      <c r="C754" s="916" t="s">
        <v>4501</v>
      </c>
      <c r="D754" s="915"/>
      <c r="E754" s="917">
        <v>36509640</v>
      </c>
      <c r="F754" s="918"/>
      <c r="G754" s="918"/>
    </row>
    <row r="755" spans="1:7">
      <c r="A755" s="915" t="s">
        <v>3332</v>
      </c>
      <c r="B755" s="916" t="s">
        <v>5362</v>
      </c>
      <c r="C755" s="916" t="s">
        <v>4366</v>
      </c>
      <c r="D755" s="915"/>
      <c r="E755" s="918"/>
      <c r="F755" s="917">
        <v>36509640</v>
      </c>
      <c r="G755" s="918"/>
    </row>
    <row r="756" spans="1:7">
      <c r="A756" s="915" t="s">
        <v>3332</v>
      </c>
      <c r="B756" s="916" t="s">
        <v>5362</v>
      </c>
      <c r="C756" s="916" t="s">
        <v>4501</v>
      </c>
      <c r="D756" s="915"/>
      <c r="E756" s="917">
        <v>225000</v>
      </c>
      <c r="F756" s="918"/>
      <c r="G756" s="918"/>
    </row>
    <row r="757" spans="1:7">
      <c r="A757" s="995" t="s">
        <v>3589</v>
      </c>
      <c r="B757" s="995" t="s">
        <v>3590</v>
      </c>
      <c r="C757" s="995" t="s">
        <v>3592</v>
      </c>
      <c r="D757" s="995" t="s">
        <v>3593</v>
      </c>
      <c r="E757" s="995" t="s">
        <v>3594</v>
      </c>
      <c r="F757" s="995" t="s">
        <v>3030</v>
      </c>
      <c r="G757" s="995" t="s">
        <v>3595</v>
      </c>
    </row>
    <row r="758" spans="1:7">
      <c r="A758" s="915" t="s">
        <v>3332</v>
      </c>
      <c r="B758" s="916" t="s">
        <v>5362</v>
      </c>
      <c r="C758" s="916" t="s">
        <v>4486</v>
      </c>
      <c r="D758" s="915"/>
      <c r="E758" s="918"/>
      <c r="F758" s="917">
        <v>225000</v>
      </c>
      <c r="G758" s="918"/>
    </row>
    <row r="759" spans="1:7">
      <c r="A759" s="915" t="s">
        <v>3332</v>
      </c>
      <c r="B759" s="916" t="s">
        <v>5362</v>
      </c>
      <c r="C759" s="916" t="s">
        <v>4501</v>
      </c>
      <c r="D759" s="915"/>
      <c r="E759" s="917">
        <v>118560</v>
      </c>
      <c r="F759" s="918"/>
      <c r="G759" s="918"/>
    </row>
    <row r="760" spans="1:7">
      <c r="A760" s="915" t="s">
        <v>3332</v>
      </c>
      <c r="B760" s="916" t="s">
        <v>5362</v>
      </c>
      <c r="C760" s="916" t="s">
        <v>4401</v>
      </c>
      <c r="D760" s="915"/>
      <c r="E760" s="918"/>
      <c r="F760" s="917">
        <v>118560</v>
      </c>
      <c r="G760" s="918"/>
    </row>
    <row r="761" spans="1:7">
      <c r="A761" s="915" t="s">
        <v>3332</v>
      </c>
      <c r="B761" s="916" t="s">
        <v>5362</v>
      </c>
      <c r="C761" s="916" t="s">
        <v>4257</v>
      </c>
      <c r="D761" s="915"/>
      <c r="E761" s="917">
        <v>600756</v>
      </c>
      <c r="F761" s="918"/>
      <c r="G761" s="918"/>
    </row>
    <row r="762" spans="1:7">
      <c r="A762" s="915" t="s">
        <v>3332</v>
      </c>
      <c r="B762" s="916" t="s">
        <v>5362</v>
      </c>
      <c r="C762" s="916" t="s">
        <v>4910</v>
      </c>
      <c r="D762" s="915"/>
      <c r="E762" s="918"/>
      <c r="F762" s="917">
        <v>600756</v>
      </c>
      <c r="G762" s="918"/>
    </row>
    <row r="763" spans="1:7">
      <c r="A763" s="915" t="s">
        <v>3332</v>
      </c>
      <c r="B763" s="916" t="s">
        <v>5362</v>
      </c>
      <c r="C763" s="916" t="s">
        <v>4257</v>
      </c>
      <c r="D763" s="915"/>
      <c r="E763" s="917">
        <v>1311</v>
      </c>
      <c r="F763" s="918"/>
      <c r="G763" s="918"/>
    </row>
    <row r="764" spans="1:7">
      <c r="A764" s="915" t="s">
        <v>3332</v>
      </c>
      <c r="B764" s="916" t="s">
        <v>5362</v>
      </c>
      <c r="C764" s="916" t="s">
        <v>5209</v>
      </c>
      <c r="D764" s="915"/>
      <c r="E764" s="918"/>
      <c r="F764" s="917">
        <v>1311</v>
      </c>
      <c r="G764" s="918"/>
    </row>
    <row r="765" spans="1:7">
      <c r="A765" s="915" t="s">
        <v>3332</v>
      </c>
      <c r="B765" s="916" t="s">
        <v>5362</v>
      </c>
      <c r="C765" s="916" t="s">
        <v>4257</v>
      </c>
      <c r="D765" s="915"/>
      <c r="E765" s="917">
        <v>18211</v>
      </c>
      <c r="F765" s="918"/>
      <c r="G765" s="918"/>
    </row>
    <row r="766" spans="1:7">
      <c r="A766" s="915" t="s">
        <v>3332</v>
      </c>
      <c r="B766" s="916" t="s">
        <v>5362</v>
      </c>
      <c r="C766" s="916" t="s">
        <v>4927</v>
      </c>
      <c r="D766" s="915"/>
      <c r="E766" s="918"/>
      <c r="F766" s="917">
        <v>18211</v>
      </c>
      <c r="G766" s="918"/>
    </row>
    <row r="767" spans="1:7">
      <c r="A767" s="915" t="s">
        <v>3332</v>
      </c>
      <c r="B767" s="916" t="s">
        <v>5362</v>
      </c>
      <c r="C767" s="916" t="s">
        <v>4501</v>
      </c>
      <c r="D767" s="915"/>
      <c r="E767" s="917">
        <v>510000</v>
      </c>
      <c r="F767" s="918"/>
      <c r="G767" s="918"/>
    </row>
    <row r="768" spans="1:7">
      <c r="A768" s="915" t="s">
        <v>3332</v>
      </c>
      <c r="B768" s="916" t="s">
        <v>5362</v>
      </c>
      <c r="C768" s="916" t="s">
        <v>5017</v>
      </c>
      <c r="D768" s="915"/>
      <c r="E768" s="918"/>
      <c r="F768" s="917">
        <v>510000</v>
      </c>
      <c r="G768" s="918"/>
    </row>
    <row r="769" spans="1:7">
      <c r="A769" s="915" t="s">
        <v>3332</v>
      </c>
      <c r="B769" s="916" t="s">
        <v>5362</v>
      </c>
      <c r="C769" s="916" t="s">
        <v>4501</v>
      </c>
      <c r="D769" s="915"/>
      <c r="E769" s="917">
        <v>10000</v>
      </c>
      <c r="F769" s="918"/>
      <c r="G769" s="918"/>
    </row>
    <row r="770" spans="1:7">
      <c r="A770" s="915" t="s">
        <v>3332</v>
      </c>
      <c r="B770" s="916" t="s">
        <v>5362</v>
      </c>
      <c r="C770" s="916" t="s">
        <v>5148</v>
      </c>
      <c r="D770" s="915"/>
      <c r="E770" s="918"/>
      <c r="F770" s="917">
        <v>10000</v>
      </c>
      <c r="G770" s="918"/>
    </row>
    <row r="771" spans="1:7">
      <c r="A771" s="915" t="s">
        <v>3332</v>
      </c>
      <c r="B771" s="916" t="s">
        <v>5362</v>
      </c>
      <c r="C771" s="916" t="s">
        <v>4501</v>
      </c>
      <c r="D771" s="915"/>
      <c r="E771" s="917">
        <v>50000</v>
      </c>
      <c r="F771" s="918"/>
      <c r="G771" s="918"/>
    </row>
    <row r="772" spans="1:7">
      <c r="A772" s="915" t="s">
        <v>3332</v>
      </c>
      <c r="B772" s="916" t="s">
        <v>5362</v>
      </c>
      <c r="C772" s="916" t="s">
        <v>5267</v>
      </c>
      <c r="D772" s="915"/>
      <c r="E772" s="918"/>
      <c r="F772" s="917">
        <v>50000</v>
      </c>
      <c r="G772" s="918"/>
    </row>
    <row r="773" spans="1:7">
      <c r="A773" s="915" t="s">
        <v>3332</v>
      </c>
      <c r="B773" s="916" t="s">
        <v>5362</v>
      </c>
      <c r="C773" s="916" t="s">
        <v>4501</v>
      </c>
      <c r="D773" s="915"/>
      <c r="E773" s="917">
        <v>332888</v>
      </c>
      <c r="F773" s="918"/>
      <c r="G773" s="918"/>
    </row>
    <row r="774" spans="1:7">
      <c r="A774" s="915" t="s">
        <v>3332</v>
      </c>
      <c r="B774" s="916" t="s">
        <v>5362</v>
      </c>
      <c r="C774" s="916" t="s">
        <v>4969</v>
      </c>
      <c r="D774" s="915"/>
      <c r="E774" s="918"/>
      <c r="F774" s="917">
        <v>332888</v>
      </c>
      <c r="G774" s="918"/>
    </row>
    <row r="775" spans="1:7">
      <c r="A775" s="915" t="s">
        <v>3332</v>
      </c>
      <c r="B775" s="916" t="s">
        <v>5362</v>
      </c>
      <c r="C775" s="916" t="s">
        <v>4257</v>
      </c>
      <c r="D775" s="915"/>
      <c r="E775" s="917">
        <v>6060</v>
      </c>
      <c r="F775" s="918"/>
      <c r="G775" s="918"/>
    </row>
    <row r="776" spans="1:7">
      <c r="A776" s="915" t="s">
        <v>3332</v>
      </c>
      <c r="B776" s="916" t="s">
        <v>5362</v>
      </c>
      <c r="C776" s="916" t="s">
        <v>4501</v>
      </c>
      <c r="D776" s="915"/>
      <c r="E776" s="918"/>
      <c r="F776" s="917">
        <v>6060</v>
      </c>
      <c r="G776" s="918"/>
    </row>
    <row r="777" spans="1:7">
      <c r="A777" s="915" t="s">
        <v>3332</v>
      </c>
      <c r="B777" s="916" t="s">
        <v>5362</v>
      </c>
      <c r="C777" s="916" t="s">
        <v>4257</v>
      </c>
      <c r="D777" s="915"/>
      <c r="E777" s="917">
        <v>460000</v>
      </c>
      <c r="F777" s="918"/>
      <c r="G777" s="918"/>
    </row>
    <row r="778" spans="1:7">
      <c r="A778" s="915" t="s">
        <v>3332</v>
      </c>
      <c r="B778" s="916" t="s">
        <v>5362</v>
      </c>
      <c r="C778" s="916" t="s">
        <v>4501</v>
      </c>
      <c r="D778" s="915"/>
      <c r="E778" s="918"/>
      <c r="F778" s="917">
        <v>460000</v>
      </c>
      <c r="G778" s="918"/>
    </row>
    <row r="779" spans="1:7">
      <c r="A779" s="915" t="s">
        <v>3332</v>
      </c>
      <c r="B779" s="916" t="s">
        <v>5363</v>
      </c>
      <c r="C779" s="916" t="s">
        <v>5364</v>
      </c>
      <c r="D779" s="915"/>
      <c r="E779" s="917">
        <v>143040</v>
      </c>
      <c r="F779" s="918"/>
      <c r="G779" s="918"/>
    </row>
    <row r="780" spans="1:7">
      <c r="A780" s="915" t="s">
        <v>3332</v>
      </c>
      <c r="B780" s="916" t="s">
        <v>5365</v>
      </c>
      <c r="C780" s="916" t="s">
        <v>5017</v>
      </c>
      <c r="D780" s="915"/>
      <c r="E780" s="917">
        <v>5000</v>
      </c>
      <c r="F780" s="918"/>
      <c r="G780" s="918"/>
    </row>
    <row r="781" spans="1:7" ht="22.5">
      <c r="A781" s="915" t="s">
        <v>3332</v>
      </c>
      <c r="B781" s="916" t="s">
        <v>5366</v>
      </c>
      <c r="C781" s="916" t="s">
        <v>4992</v>
      </c>
      <c r="D781" s="915"/>
      <c r="E781" s="918"/>
      <c r="F781" s="996">
        <v>270360</v>
      </c>
      <c r="G781" s="918"/>
    </row>
    <row r="782" spans="1:7" ht="22.5">
      <c r="A782" s="915" t="s">
        <v>3332</v>
      </c>
      <c r="B782" s="916" t="s">
        <v>5366</v>
      </c>
      <c r="C782" s="916" t="s">
        <v>4992</v>
      </c>
      <c r="D782" s="915"/>
      <c r="E782" s="918"/>
      <c r="F782" s="996">
        <v>29640</v>
      </c>
      <c r="G782" s="918"/>
    </row>
    <row r="783" spans="1:7" ht="22.5">
      <c r="A783" s="915" t="s">
        <v>3332</v>
      </c>
      <c r="B783" s="916" t="s">
        <v>5366</v>
      </c>
      <c r="C783" s="916" t="s">
        <v>4933</v>
      </c>
      <c r="D783" s="915"/>
      <c r="E783" s="917">
        <v>34460</v>
      </c>
      <c r="F783" s="918"/>
      <c r="G783" s="918"/>
    </row>
    <row r="784" spans="1:7" ht="22.5">
      <c r="A784" s="915" t="s">
        <v>3332</v>
      </c>
      <c r="B784" s="916" t="s">
        <v>5366</v>
      </c>
      <c r="C784" s="916" t="s">
        <v>4992</v>
      </c>
      <c r="D784" s="915"/>
      <c r="E784" s="918"/>
      <c r="F784" s="996">
        <v>34460</v>
      </c>
      <c r="G784" s="918"/>
    </row>
    <row r="785" spans="1:7">
      <c r="A785" s="915" t="s">
        <v>3332</v>
      </c>
      <c r="B785" s="916" t="s">
        <v>5367</v>
      </c>
      <c r="C785" s="916" t="s">
        <v>4910</v>
      </c>
      <c r="D785" s="915"/>
      <c r="E785" s="917">
        <v>100000</v>
      </c>
      <c r="F785" s="918"/>
      <c r="G785" s="918"/>
    </row>
    <row r="786" spans="1:7">
      <c r="A786" s="915" t="s">
        <v>3332</v>
      </c>
      <c r="B786" s="916" t="s">
        <v>4907</v>
      </c>
      <c r="C786" s="916" t="s">
        <v>4908</v>
      </c>
      <c r="D786" s="915" t="s">
        <v>4897</v>
      </c>
      <c r="E786" s="918"/>
      <c r="F786" s="917">
        <v>36300</v>
      </c>
      <c r="G786" s="918"/>
    </row>
    <row r="787" spans="1:7">
      <c r="A787" s="915" t="s">
        <v>3332</v>
      </c>
      <c r="B787" s="916" t="s">
        <v>5368</v>
      </c>
      <c r="C787" s="916" t="s">
        <v>4908</v>
      </c>
      <c r="D787" s="915" t="s">
        <v>4897</v>
      </c>
      <c r="E787" s="918"/>
      <c r="F787" s="917">
        <v>7900</v>
      </c>
      <c r="G787" s="918"/>
    </row>
    <row r="788" spans="1:7">
      <c r="A788" s="915" t="s">
        <v>3332</v>
      </c>
      <c r="B788" s="916" t="s">
        <v>5270</v>
      </c>
      <c r="C788" s="916" t="s">
        <v>4908</v>
      </c>
      <c r="D788" s="915" t="s">
        <v>4897</v>
      </c>
      <c r="E788" s="918"/>
      <c r="F788" s="917">
        <v>33700</v>
      </c>
      <c r="G788" s="917">
        <v>1150216825</v>
      </c>
    </row>
    <row r="789" spans="1:7">
      <c r="A789" s="915" t="s">
        <v>3629</v>
      </c>
      <c r="B789" s="916" t="s">
        <v>5369</v>
      </c>
      <c r="C789" s="916" t="s">
        <v>4951</v>
      </c>
      <c r="D789" s="915"/>
      <c r="E789" s="917">
        <v>143300</v>
      </c>
      <c r="F789" s="918"/>
      <c r="G789" s="917">
        <v>1150360125</v>
      </c>
    </row>
  </sheetData>
  <mergeCells count="5">
    <mergeCell ref="D1:E1"/>
    <mergeCell ref="F1:G1"/>
    <mergeCell ref="D2:E3"/>
    <mergeCell ref="F2:G3"/>
    <mergeCell ref="H2:H3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</sheetPr>
  <dimension ref="A1:P88"/>
  <sheetViews>
    <sheetView zoomScaleSheetLayoutView="85" workbookViewId="0">
      <selection activeCell="C70" sqref="C70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TableofContents!$D$15</f>
        <v>유형자산</v>
      </c>
      <c r="B2" s="449"/>
      <c r="C2" s="449"/>
      <c r="D2" s="449"/>
      <c r="E2" s="449"/>
      <c r="F2" s="449"/>
      <c r="G2" s="450"/>
      <c r="H2" s="1255" t="str">
        <f>"DIR - "&amp;TableofContents!$B$15</f>
        <v>DIR - G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89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1769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1751</v>
      </c>
    </row>
    <row r="18" spans="1:14" s="225" customFormat="1" ht="15.75" customHeight="1">
      <c r="A18" s="224"/>
      <c r="B18" s="224"/>
      <c r="C18" s="224"/>
      <c r="D18" s="224" t="s">
        <v>1752</v>
      </c>
    </row>
    <row r="19" spans="1:14" s="225" customFormat="1" ht="15.75" customHeight="1">
      <c r="A19" s="224"/>
      <c r="B19" s="224"/>
      <c r="C19" s="224"/>
    </row>
    <row r="20" spans="1:14" s="225" customFormat="1" ht="15.75" customHeight="1">
      <c r="A20" s="224"/>
      <c r="B20" s="224" t="s">
        <v>1069</v>
      </c>
      <c r="C20" s="224" t="s">
        <v>1770</v>
      </c>
      <c r="N20" s="247" t="s">
        <v>1307</v>
      </c>
    </row>
    <row r="21" spans="1:14" s="225" customFormat="1" ht="15.75" customHeight="1">
      <c r="A21" s="224"/>
      <c r="D21" s="471" t="s">
        <v>1753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A22" s="224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A23" s="224"/>
      <c r="B23" s="224" t="s">
        <v>1070</v>
      </c>
      <c r="C23" s="224" t="s">
        <v>1771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1612</v>
      </c>
    </row>
    <row r="24" spans="1:14" s="225" customFormat="1" ht="15.75" customHeight="1">
      <c r="B24" s="224"/>
      <c r="C24" s="224"/>
      <c r="D24" s="224"/>
    </row>
    <row r="25" spans="1:14" s="225" customFormat="1" ht="15.75" customHeight="1">
      <c r="B25" s="224" t="s">
        <v>1076</v>
      </c>
      <c r="C25" s="224" t="s">
        <v>1772</v>
      </c>
      <c r="D25" s="224"/>
      <c r="N25" s="247" t="s">
        <v>1592</v>
      </c>
    </row>
    <row r="26" spans="1:14" s="225" customFormat="1" ht="15.75" customHeight="1">
      <c r="B26" s="224"/>
      <c r="C26" s="224"/>
      <c r="D26" s="224"/>
      <c r="N26" s="247"/>
    </row>
    <row r="27" spans="1:14" s="225" customFormat="1" ht="15.75" customHeight="1">
      <c r="B27" s="224" t="s">
        <v>1360</v>
      </c>
      <c r="C27" s="224" t="s">
        <v>1773</v>
      </c>
      <c r="D27" s="224"/>
      <c r="N27" s="247" t="s">
        <v>1754</v>
      </c>
    </row>
    <row r="28" spans="1:14" s="225" customFormat="1" ht="15.75" customHeight="1">
      <c r="B28" s="224"/>
      <c r="C28" s="224"/>
      <c r="D28" s="472" t="s">
        <v>1774</v>
      </c>
      <c r="N28" s="247"/>
    </row>
    <row r="29" spans="1:14" s="225" customFormat="1" ht="15.75" customHeight="1">
      <c r="B29" s="224"/>
      <c r="C29" s="224"/>
      <c r="D29" s="224" t="s">
        <v>1755</v>
      </c>
      <c r="N29" s="247"/>
    </row>
    <row r="30" spans="1:14" s="225" customFormat="1" ht="15.75" customHeight="1">
      <c r="B30" s="224"/>
      <c r="C30" s="224"/>
      <c r="D30" s="472" t="s">
        <v>1775</v>
      </c>
      <c r="N30" s="247"/>
    </row>
    <row r="31" spans="1:14" s="225" customFormat="1" ht="15.75" customHeight="1">
      <c r="B31" s="224"/>
      <c r="C31" s="224"/>
      <c r="D31" s="472" t="s">
        <v>1776</v>
      </c>
      <c r="N31" s="247"/>
    </row>
    <row r="32" spans="1:14" s="225" customFormat="1" ht="15.75" customHeight="1">
      <c r="B32" s="224"/>
      <c r="C32" s="224"/>
      <c r="D32" s="472" t="s">
        <v>1777</v>
      </c>
      <c r="N32" s="247"/>
    </row>
    <row r="33" spans="1:14" s="225" customFormat="1" ht="15.75" customHeight="1">
      <c r="B33" s="224"/>
      <c r="C33" s="224"/>
      <c r="D33" s="472" t="s">
        <v>1779</v>
      </c>
      <c r="N33" s="247"/>
    </row>
    <row r="34" spans="1:14" s="225" customFormat="1" ht="15.75" customHeight="1">
      <c r="B34" s="224"/>
      <c r="C34" s="224"/>
      <c r="D34" s="472" t="s">
        <v>1778</v>
      </c>
      <c r="N34" s="247"/>
    </row>
    <row r="35" spans="1:14" s="225" customFormat="1" ht="15.75" customHeight="1">
      <c r="B35" s="224"/>
      <c r="C35" s="224"/>
      <c r="D35" s="224" t="s">
        <v>1756</v>
      </c>
      <c r="N35" s="247"/>
    </row>
    <row r="36" spans="1:14" s="225" customFormat="1" ht="15.75" customHeight="1">
      <c r="B36" s="224"/>
      <c r="C36" s="224"/>
      <c r="D36" s="224"/>
      <c r="N36" s="247"/>
    </row>
    <row r="37" spans="1:14" s="225" customFormat="1" ht="15.75" customHeight="1">
      <c r="B37" s="253" t="s">
        <v>1371</v>
      </c>
      <c r="C37" s="224" t="s">
        <v>1780</v>
      </c>
      <c r="D37" s="224"/>
      <c r="N37" s="247" t="s">
        <v>1470</v>
      </c>
    </row>
    <row r="38" spans="1:14" s="225" customFormat="1" ht="15.75" customHeight="1">
      <c r="A38" s="264"/>
      <c r="C38" s="224"/>
      <c r="D38" s="472" t="s">
        <v>1781</v>
      </c>
      <c r="N38" s="247"/>
    </row>
    <row r="39" spans="1:14" s="225" customFormat="1" ht="15.75" customHeight="1">
      <c r="A39" s="264"/>
      <c r="C39" s="224"/>
      <c r="D39" s="472" t="s">
        <v>1782</v>
      </c>
      <c r="N39" s="247"/>
    </row>
    <row r="40" spans="1:14" s="225" customFormat="1" ht="15.75" customHeight="1">
      <c r="A40" s="264"/>
      <c r="C40" s="224"/>
      <c r="D40" s="472" t="s">
        <v>1783</v>
      </c>
      <c r="N40" s="247"/>
    </row>
    <row r="41" spans="1:14" s="225" customFormat="1" ht="15.75" customHeight="1">
      <c r="A41" s="264"/>
      <c r="C41" s="224"/>
      <c r="D41" s="472"/>
      <c r="N41" s="247"/>
    </row>
    <row r="42" spans="1:14" s="225" customFormat="1" ht="15.75" customHeight="1">
      <c r="A42" s="264"/>
      <c r="B42" s="224" t="s">
        <v>1375</v>
      </c>
      <c r="C42" s="224" t="s">
        <v>1784</v>
      </c>
      <c r="D42" s="472"/>
      <c r="N42" s="247" t="s">
        <v>1757</v>
      </c>
    </row>
    <row r="43" spans="1:14" s="225" customFormat="1" ht="15.75" customHeight="1">
      <c r="A43" s="264"/>
      <c r="C43" s="224"/>
      <c r="D43" s="472" t="s">
        <v>1785</v>
      </c>
      <c r="N43" s="247"/>
    </row>
    <row r="44" spans="1:14" s="225" customFormat="1" ht="15.75" customHeight="1">
      <c r="A44" s="264"/>
      <c r="C44" s="224"/>
      <c r="D44" s="472" t="s">
        <v>1758</v>
      </c>
      <c r="N44" s="247"/>
    </row>
    <row r="45" spans="1:14" s="225" customFormat="1" ht="15.75" customHeight="1">
      <c r="A45" s="264"/>
      <c r="C45" s="224"/>
      <c r="D45" s="472" t="s">
        <v>1786</v>
      </c>
      <c r="N45" s="247"/>
    </row>
    <row r="46" spans="1:14" s="225" customFormat="1" ht="15.75" customHeight="1">
      <c r="A46" s="264"/>
      <c r="C46" s="224"/>
      <c r="D46" s="472" t="s">
        <v>1759</v>
      </c>
      <c r="N46" s="247"/>
    </row>
    <row r="47" spans="1:14" s="225" customFormat="1" ht="15.75" customHeight="1">
      <c r="A47" s="264"/>
      <c r="C47" s="224"/>
      <c r="D47" s="472"/>
      <c r="N47" s="247"/>
    </row>
    <row r="48" spans="1:14" s="225" customFormat="1" ht="15.75" customHeight="1">
      <c r="A48" s="264"/>
      <c r="B48" s="224" t="s">
        <v>1376</v>
      </c>
      <c r="C48" s="224" t="s">
        <v>1787</v>
      </c>
      <c r="D48" s="224"/>
      <c r="N48" s="247" t="s">
        <v>1592</v>
      </c>
    </row>
    <row r="49" spans="1:14" s="225" customFormat="1" ht="15.75" customHeight="1">
      <c r="A49" s="264"/>
      <c r="D49" s="472" t="s">
        <v>1788</v>
      </c>
      <c r="N49" s="475"/>
    </row>
    <row r="50" spans="1:14" s="225" customFormat="1" ht="15.75" customHeight="1">
      <c r="A50" s="264"/>
      <c r="D50" s="472" t="s">
        <v>1789</v>
      </c>
      <c r="N50" s="475"/>
    </row>
    <row r="51" spans="1:14" s="225" customFormat="1" ht="15.75" customHeight="1">
      <c r="A51" s="264"/>
      <c r="D51" s="472"/>
      <c r="N51" s="475"/>
    </row>
    <row r="52" spans="1:14" s="225" customFormat="1" ht="15.75" customHeight="1">
      <c r="A52" s="264"/>
      <c r="B52" s="224" t="s">
        <v>1379</v>
      </c>
      <c r="C52" s="224" t="s">
        <v>1509</v>
      </c>
      <c r="D52" s="224"/>
      <c r="N52" s="247" t="s">
        <v>1588</v>
      </c>
    </row>
    <row r="53" spans="1:14" s="225" customFormat="1" ht="15.75" customHeight="1">
      <c r="A53" s="264"/>
      <c r="C53" s="224"/>
      <c r="D53" s="472" t="s">
        <v>1760</v>
      </c>
      <c r="N53" s="247"/>
    </row>
    <row r="54" spans="1:14" s="225" customFormat="1" ht="15.75" customHeight="1">
      <c r="A54" s="264"/>
      <c r="D54" s="224"/>
      <c r="N54" s="247"/>
    </row>
    <row r="55" spans="1:14" s="225" customFormat="1" ht="15.75" customHeight="1">
      <c r="A55" s="264"/>
      <c r="B55" s="224" t="s">
        <v>1381</v>
      </c>
      <c r="C55" s="224" t="s">
        <v>1790</v>
      </c>
      <c r="D55" s="224"/>
      <c r="N55" s="247" t="s">
        <v>1761</v>
      </c>
    </row>
    <row r="56" spans="1:14" s="225" customFormat="1" ht="15.75" customHeight="1">
      <c r="A56" s="264"/>
      <c r="D56" s="472" t="s">
        <v>1793</v>
      </c>
      <c r="N56" s="247"/>
    </row>
    <row r="57" spans="1:14" s="225" customFormat="1" ht="15.75" customHeight="1">
      <c r="A57" s="264"/>
      <c r="D57" s="224" t="s">
        <v>1762</v>
      </c>
      <c r="N57" s="247"/>
    </row>
    <row r="58" spans="1:14" s="225" customFormat="1" ht="15.75" customHeight="1">
      <c r="A58" s="264"/>
      <c r="D58" s="472" t="s">
        <v>1794</v>
      </c>
      <c r="N58" s="247"/>
    </row>
    <row r="59" spans="1:14" s="225" customFormat="1" ht="15.75" customHeight="1">
      <c r="A59" s="264"/>
      <c r="D59" s="472" t="s">
        <v>1795</v>
      </c>
      <c r="N59" s="247"/>
    </row>
    <row r="60" spans="1:14" s="225" customFormat="1" ht="15.75" customHeight="1">
      <c r="A60" s="264"/>
      <c r="D60" s="472" t="s">
        <v>1796</v>
      </c>
      <c r="N60" s="247"/>
    </row>
    <row r="61" spans="1:14" s="225" customFormat="1" ht="15.75" customHeight="1">
      <c r="A61" s="264"/>
      <c r="D61" s="224" t="s">
        <v>1763</v>
      </c>
      <c r="N61" s="247"/>
    </row>
    <row r="62" spans="1:14" s="225" customFormat="1" ht="15.75" customHeight="1">
      <c r="A62" s="264"/>
      <c r="D62" s="472" t="s">
        <v>1797</v>
      </c>
      <c r="N62" s="247"/>
    </row>
    <row r="63" spans="1:14" s="225" customFormat="1" ht="15.75" customHeight="1">
      <c r="A63" s="264"/>
      <c r="D63" s="472" t="s">
        <v>1798</v>
      </c>
      <c r="N63" s="247"/>
    </row>
    <row r="64" spans="1:14" s="225" customFormat="1" ht="15.75" customHeight="1">
      <c r="A64" s="264"/>
      <c r="D64" s="224"/>
      <c r="N64" s="247"/>
    </row>
    <row r="65" spans="1:14" s="225" customFormat="1" ht="15.75" customHeight="1">
      <c r="A65" s="264"/>
      <c r="B65" s="224" t="s">
        <v>1383</v>
      </c>
      <c r="C65" s="224" t="s">
        <v>1791</v>
      </c>
      <c r="D65" s="224"/>
      <c r="N65" s="247" t="s">
        <v>1589</v>
      </c>
    </row>
    <row r="66" spans="1:14" s="225" customFormat="1" ht="15.75" customHeight="1">
      <c r="A66" s="264"/>
      <c r="D66" s="472" t="s">
        <v>1764</v>
      </c>
    </row>
    <row r="67" spans="1:14" s="225" customFormat="1" ht="15.75" customHeight="1">
      <c r="A67" s="264"/>
      <c r="D67" s="472" t="s">
        <v>1765</v>
      </c>
    </row>
    <row r="68" spans="1:14" s="225" customFormat="1" ht="15.75" customHeight="1">
      <c r="A68" s="264"/>
      <c r="D68" s="472"/>
    </row>
    <row r="69" spans="1:14" s="225" customFormat="1" ht="15.75" customHeight="1">
      <c r="B69" s="224" t="s">
        <v>1766</v>
      </c>
      <c r="C69" s="224" t="s">
        <v>1792</v>
      </c>
      <c r="D69" s="472"/>
      <c r="N69" s="247" t="s">
        <v>1768</v>
      </c>
    </row>
    <row r="70" spans="1:14" s="225" customFormat="1" ht="15.75" customHeight="1">
      <c r="D70" s="472" t="s">
        <v>1799</v>
      </c>
    </row>
    <row r="71" spans="1:14" s="225" customFormat="1" ht="15.75" customHeight="1">
      <c r="D71" s="472" t="s">
        <v>1800</v>
      </c>
    </row>
    <row r="72" spans="1:14" s="225" customFormat="1" ht="15.75" customHeight="1">
      <c r="D72" s="472" t="s">
        <v>1801</v>
      </c>
    </row>
    <row r="73" spans="1:14" s="225" customFormat="1" ht="15.75" customHeight="1">
      <c r="D73" s="472" t="s">
        <v>1802</v>
      </c>
    </row>
    <row r="74" spans="1:14" s="225" customFormat="1" ht="15.75" customHeight="1">
      <c r="D74" s="472" t="s">
        <v>1803</v>
      </c>
    </row>
    <row r="75" spans="1:14" s="225" customFormat="1" ht="15.75" customHeight="1">
      <c r="D75" s="472" t="s">
        <v>1804</v>
      </c>
    </row>
    <row r="76" spans="1:14" s="225" customFormat="1" ht="15.75" customHeight="1">
      <c r="D76" s="472" t="s">
        <v>1805</v>
      </c>
    </row>
    <row r="77" spans="1:14" s="225" customFormat="1" ht="15.75" customHeight="1">
      <c r="D77" s="472" t="s">
        <v>1806</v>
      </c>
    </row>
    <row r="78" spans="1:14" s="225" customFormat="1" ht="15.75" customHeight="1">
      <c r="D78" s="472" t="s">
        <v>1807</v>
      </c>
    </row>
    <row r="79" spans="1:14" s="225" customFormat="1" ht="15.75" customHeight="1">
      <c r="D79" s="472" t="s">
        <v>1808</v>
      </c>
    </row>
    <row r="80" spans="1:14" s="225" customFormat="1" ht="15.75" customHeight="1">
      <c r="D80" s="472" t="s">
        <v>1809</v>
      </c>
    </row>
    <row r="81" spans="2:14" s="225" customFormat="1" ht="15.75" customHeight="1">
      <c r="D81" s="472" t="s">
        <v>1810</v>
      </c>
    </row>
    <row r="82" spans="2:14" s="225" customFormat="1" ht="15.75" customHeight="1">
      <c r="D82" s="472" t="s">
        <v>1811</v>
      </c>
    </row>
    <row r="83" spans="2:14" s="225" customFormat="1" ht="15.75" customHeight="1">
      <c r="D83" s="472" t="s">
        <v>1812</v>
      </c>
    </row>
    <row r="84" spans="2:14" s="225" customFormat="1" ht="15.75" customHeight="1">
      <c r="D84" s="472" t="s">
        <v>1813</v>
      </c>
    </row>
    <row r="85" spans="2:14" s="225" customFormat="1" ht="15.75" customHeight="1">
      <c r="B85" s="253"/>
      <c r="C85" s="224"/>
      <c r="D85" s="224"/>
      <c r="M85" s="229"/>
      <c r="N85" s="229"/>
    </row>
    <row r="86" spans="2:14" s="225" customFormat="1" ht="15.75" customHeight="1">
      <c r="B86" s="224" t="s">
        <v>1767</v>
      </c>
      <c r="C86" s="224" t="s">
        <v>1391</v>
      </c>
      <c r="D86" s="224"/>
    </row>
    <row r="87" spans="2:14" s="225" customFormat="1" ht="15.75" customHeight="1"/>
    <row r="88" spans="2:14" s="225" customFormat="1" ht="15.75" customHeight="1">
      <c r="B88" s="224"/>
      <c r="C88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2:G349"/>
  <sheetViews>
    <sheetView workbookViewId="0">
      <selection activeCell="D12" sqref="D12"/>
    </sheetView>
  </sheetViews>
  <sheetFormatPr defaultRowHeight="13.5"/>
  <cols>
    <col min="1" max="1" width="16.25" style="55" customWidth="1"/>
    <col min="2" max="2" width="17.625" style="55" customWidth="1"/>
    <col min="3" max="3" width="14.5" style="55" customWidth="1"/>
    <col min="4" max="4" width="14.5" style="55" bestFit="1" customWidth="1"/>
    <col min="5" max="5" width="10.875" style="55" bestFit="1" customWidth="1"/>
    <col min="6" max="7" width="10.75" style="55" bestFit="1" customWidth="1"/>
    <col min="8" max="16384" width="9" style="55"/>
  </cols>
  <sheetData>
    <row r="2" spans="1:3">
      <c r="A2" s="56"/>
      <c r="B2" s="56"/>
      <c r="C2" s="56"/>
    </row>
    <row r="3" spans="1:3">
      <c r="A3" s="56"/>
      <c r="B3" s="57"/>
      <c r="C3" s="59"/>
    </row>
    <row r="4" spans="1:3">
      <c r="A4" s="56"/>
      <c r="B4" s="57"/>
      <c r="C4" s="59"/>
    </row>
    <row r="5" spans="1:3">
      <c r="A5" s="56"/>
      <c r="B5" s="57"/>
      <c r="C5" s="59"/>
    </row>
    <row r="6" spans="1:3">
      <c r="A6" s="56"/>
      <c r="B6" s="57"/>
      <c r="C6" s="59"/>
    </row>
    <row r="7" spans="1:3">
      <c r="A7" s="56"/>
      <c r="B7" s="57"/>
      <c r="C7" s="59"/>
    </row>
    <row r="8" spans="1:3">
      <c r="A8" s="56"/>
      <c r="B8" s="57"/>
      <c r="C8" s="59"/>
    </row>
    <row r="9" spans="1:3">
      <c r="A9" s="56"/>
      <c r="B9" s="57"/>
      <c r="C9" s="59"/>
    </row>
    <row r="12" spans="1:3">
      <c r="A12" s="56"/>
      <c r="B12" s="56"/>
    </row>
    <row r="13" spans="1:3">
      <c r="A13" s="56"/>
      <c r="B13" s="68"/>
    </row>
    <row r="14" spans="1:3">
      <c r="A14" s="56"/>
      <c r="B14" s="68"/>
    </row>
    <row r="15" spans="1:3">
      <c r="A15" s="56"/>
      <c r="B15" s="68"/>
    </row>
    <row r="16" spans="1:3">
      <c r="A16" s="56"/>
      <c r="B16" s="68"/>
    </row>
    <row r="17" spans="1:5">
      <c r="A17" s="56"/>
      <c r="B17" s="68"/>
    </row>
    <row r="18" spans="1:5">
      <c r="A18" s="56"/>
      <c r="B18" s="68"/>
    </row>
    <row r="19" spans="1:5">
      <c r="A19" s="56"/>
      <c r="B19" s="68"/>
    </row>
    <row r="20" spans="1:5">
      <c r="A20" s="56"/>
      <c r="B20" s="68"/>
    </row>
    <row r="23" spans="1:5">
      <c r="B23" s="69"/>
      <c r="C23" s="69"/>
    </row>
    <row r="24" spans="1:5">
      <c r="B24" s="69"/>
      <c r="C24" s="69"/>
    </row>
    <row r="26" spans="1:5">
      <c r="A26" s="54"/>
    </row>
    <row r="27" spans="1:5">
      <c r="A27" s="54"/>
    </row>
    <row r="28" spans="1:5">
      <c r="A28" s="54"/>
    </row>
    <row r="30" spans="1:5">
      <c r="A30" s="56"/>
      <c r="B30" s="56"/>
      <c r="C30" s="56"/>
      <c r="D30" s="56"/>
      <c r="E30" s="56"/>
    </row>
    <row r="31" spans="1:5">
      <c r="A31" s="56"/>
      <c r="B31" s="56"/>
      <c r="C31" s="57"/>
      <c r="D31" s="57"/>
      <c r="E31" s="56"/>
    </row>
    <row r="32" spans="1:5">
      <c r="A32" s="56"/>
      <c r="B32" s="56"/>
      <c r="C32" s="57"/>
      <c r="D32" s="57"/>
      <c r="E32" s="56"/>
    </row>
    <row r="33" spans="1:5">
      <c r="A33" s="56"/>
      <c r="B33" s="56"/>
      <c r="C33" s="57"/>
      <c r="D33" s="57"/>
      <c r="E33" s="56"/>
    </row>
    <row r="35" spans="1:5">
      <c r="A35" s="54"/>
    </row>
    <row r="36" spans="1:5">
      <c r="A36" s="54"/>
    </row>
    <row r="37" spans="1:5">
      <c r="A37" s="54"/>
    </row>
    <row r="38" spans="1:5">
      <c r="A38" s="54"/>
    </row>
    <row r="39" spans="1:5">
      <c r="A39" s="54"/>
    </row>
    <row r="41" spans="1:5">
      <c r="A41" s="54"/>
      <c r="B41" s="54"/>
      <c r="C41" s="54"/>
      <c r="D41" s="54"/>
      <c r="E41" s="54"/>
    </row>
    <row r="42" spans="1:5">
      <c r="A42" s="54"/>
      <c r="B42" s="54"/>
      <c r="C42" s="54"/>
      <c r="D42" s="54"/>
      <c r="E42" s="54"/>
    </row>
    <row r="43" spans="1:5">
      <c r="A43" s="56"/>
      <c r="B43" s="70"/>
      <c r="C43" s="57"/>
      <c r="D43" s="57"/>
      <c r="E43" s="57"/>
    </row>
    <row r="44" spans="1:5">
      <c r="A44" s="56"/>
      <c r="B44" s="70"/>
      <c r="C44" s="57"/>
      <c r="D44" s="57"/>
      <c r="E44" s="57"/>
    </row>
    <row r="45" spans="1:5">
      <c r="A45" s="56"/>
      <c r="B45" s="70"/>
      <c r="C45" s="57"/>
      <c r="D45" s="57"/>
      <c r="E45" s="57"/>
    </row>
    <row r="46" spans="1:5">
      <c r="A46" s="56"/>
      <c r="B46" s="56"/>
      <c r="C46" s="57"/>
      <c r="D46" s="57"/>
      <c r="E46" s="57"/>
    </row>
    <row r="48" spans="1:5">
      <c r="A48" s="54"/>
    </row>
    <row r="49" spans="1:6">
      <c r="A49" s="54"/>
    </row>
    <row r="50" spans="1:6">
      <c r="A50" s="54"/>
    </row>
    <row r="52" spans="1:6">
      <c r="A52" s="54"/>
      <c r="B52" s="54"/>
      <c r="C52" s="54"/>
      <c r="D52" s="54"/>
      <c r="E52" s="54"/>
      <c r="F52" s="54"/>
    </row>
    <row r="53" spans="1:6">
      <c r="A53" s="54"/>
      <c r="B53" s="54"/>
      <c r="C53" s="54"/>
      <c r="D53" s="54"/>
      <c r="E53" s="54"/>
      <c r="F53" s="54"/>
    </row>
    <row r="54" spans="1:6">
      <c r="A54" s="56"/>
      <c r="B54" s="71"/>
      <c r="C54" s="57"/>
      <c r="D54" s="69"/>
      <c r="E54" s="57"/>
      <c r="F54" s="57"/>
    </row>
    <row r="55" spans="1:6">
      <c r="A55" s="56"/>
      <c r="B55" s="71"/>
      <c r="C55" s="57"/>
      <c r="D55" s="69"/>
      <c r="E55" s="57"/>
      <c r="F55" s="57"/>
    </row>
    <row r="56" spans="1:6">
      <c r="A56" s="56"/>
      <c r="B56" s="71"/>
      <c r="C56" s="57"/>
      <c r="D56" s="69"/>
      <c r="E56" s="57"/>
      <c r="F56" s="57"/>
    </row>
    <row r="57" spans="1:6">
      <c r="A57" s="56"/>
      <c r="B57" s="56"/>
      <c r="C57" s="69"/>
      <c r="D57" s="69"/>
      <c r="E57" s="69"/>
      <c r="F57" s="69"/>
    </row>
    <row r="60" spans="1:6">
      <c r="A60" s="54"/>
    </row>
    <row r="61" spans="1:6">
      <c r="A61" s="54"/>
    </row>
    <row r="62" spans="1:6">
      <c r="A62" s="54"/>
    </row>
    <row r="63" spans="1:6">
      <c r="A63" s="54"/>
    </row>
    <row r="64" spans="1:6">
      <c r="A64" s="54"/>
    </row>
    <row r="66" spans="1:7">
      <c r="A66" s="56"/>
      <c r="B66" s="58"/>
      <c r="C66" s="58"/>
      <c r="D66" s="58"/>
      <c r="E66" s="58"/>
      <c r="F66" s="58"/>
      <c r="G66" s="58"/>
    </row>
    <row r="67" spans="1:7">
      <c r="A67" s="56"/>
      <c r="B67" s="57"/>
      <c r="C67" s="57"/>
      <c r="D67" s="57"/>
      <c r="E67" s="72"/>
      <c r="F67" s="57"/>
      <c r="G67" s="57"/>
    </row>
    <row r="68" spans="1:7">
      <c r="A68" s="56"/>
      <c r="B68" s="57"/>
      <c r="C68" s="57"/>
      <c r="D68" s="57"/>
      <c r="E68" s="72"/>
      <c r="F68" s="57"/>
      <c r="G68" s="57"/>
    </row>
    <row r="69" spans="1:7">
      <c r="A69" s="56"/>
      <c r="B69" s="57"/>
      <c r="C69" s="57"/>
      <c r="D69" s="57"/>
      <c r="E69" s="72"/>
      <c r="F69" s="57"/>
      <c r="G69" s="57"/>
    </row>
    <row r="70" spans="1:7">
      <c r="A70" s="56"/>
      <c r="B70" s="57"/>
      <c r="C70" s="57"/>
      <c r="D70" s="57"/>
      <c r="E70" s="72"/>
      <c r="F70" s="57"/>
      <c r="G70" s="57"/>
    </row>
    <row r="71" spans="1:7">
      <c r="A71" s="56"/>
      <c r="B71" s="57"/>
      <c r="C71" s="57"/>
      <c r="D71" s="57"/>
      <c r="E71" s="72"/>
      <c r="F71" s="57"/>
      <c r="G71" s="57"/>
    </row>
    <row r="72" spans="1:7">
      <c r="A72" s="56"/>
      <c r="B72" s="57"/>
      <c r="C72" s="57"/>
      <c r="D72" s="57"/>
      <c r="E72" s="72"/>
      <c r="F72" s="57"/>
      <c r="G72" s="57"/>
    </row>
    <row r="73" spans="1:7">
      <c r="A73" s="56"/>
      <c r="B73" s="57"/>
      <c r="C73" s="57"/>
      <c r="D73" s="57"/>
      <c r="E73" s="72"/>
      <c r="F73" s="57"/>
      <c r="G73" s="57"/>
    </row>
    <row r="74" spans="1:7">
      <c r="A74" s="56"/>
      <c r="B74" s="57"/>
      <c r="C74" s="57"/>
      <c r="D74" s="57"/>
      <c r="E74" s="72"/>
      <c r="F74" s="57"/>
      <c r="G74" s="57"/>
    </row>
    <row r="76" spans="1:7">
      <c r="A76" s="54"/>
    </row>
    <row r="78" spans="1:7">
      <c r="A78" s="56"/>
      <c r="B78" s="56"/>
      <c r="C78" s="56"/>
      <c r="D78" s="56"/>
      <c r="E78" s="56"/>
      <c r="F78" s="56"/>
    </row>
    <row r="79" spans="1:7">
      <c r="A79" s="56"/>
      <c r="B79" s="57"/>
      <c r="C79" s="57"/>
      <c r="D79" s="57"/>
      <c r="E79" s="57"/>
      <c r="F79" s="57"/>
    </row>
    <row r="80" spans="1:7">
      <c r="A80" s="56"/>
      <c r="B80" s="57"/>
      <c r="C80" s="57"/>
      <c r="D80" s="57"/>
      <c r="E80" s="57"/>
      <c r="F80" s="57"/>
    </row>
    <row r="81" spans="1:6">
      <c r="A81" s="56"/>
      <c r="B81" s="57"/>
      <c r="C81" s="57"/>
      <c r="D81" s="57"/>
      <c r="E81" s="57"/>
      <c r="F81" s="57"/>
    </row>
    <row r="82" spans="1:6">
      <c r="A82" s="56"/>
      <c r="B82" s="57"/>
      <c r="C82" s="57"/>
      <c r="D82" s="57"/>
      <c r="E82" s="57"/>
      <c r="F82" s="57"/>
    </row>
    <row r="83" spans="1:6">
      <c r="A83" s="56"/>
      <c r="B83" s="57"/>
      <c r="C83" s="57"/>
      <c r="D83" s="57"/>
      <c r="E83" s="57"/>
      <c r="F83" s="57"/>
    </row>
    <row r="84" spans="1:6">
      <c r="A84" s="56"/>
      <c r="B84" s="57"/>
      <c r="C84" s="57"/>
      <c r="D84" s="57"/>
      <c r="E84" s="57"/>
      <c r="F84" s="57"/>
    </row>
    <row r="85" spans="1:6">
      <c r="A85" s="56"/>
      <c r="B85" s="57"/>
      <c r="C85" s="57"/>
      <c r="D85" s="57"/>
      <c r="E85" s="57"/>
      <c r="F85" s="57"/>
    </row>
    <row r="86" spans="1:6">
      <c r="A86" s="56"/>
      <c r="B86" s="57"/>
      <c r="C86" s="57"/>
      <c r="D86" s="57"/>
      <c r="E86" s="57"/>
      <c r="F86" s="57"/>
    </row>
    <row r="88" spans="1:6">
      <c r="A88" s="54"/>
    </row>
    <row r="89" spans="1:6">
      <c r="A89" s="54"/>
    </row>
    <row r="90" spans="1:6">
      <c r="A90" s="54"/>
    </row>
    <row r="91" spans="1:6">
      <c r="A91" s="54"/>
    </row>
    <row r="93" spans="1:6">
      <c r="A93" s="56"/>
      <c r="B93" s="56"/>
      <c r="C93" s="56"/>
      <c r="D93" s="56"/>
    </row>
    <row r="94" spans="1:6">
      <c r="A94" s="56"/>
      <c r="B94" s="56"/>
      <c r="C94" s="57"/>
      <c r="D94" s="56"/>
    </row>
    <row r="95" spans="1:6">
      <c r="A95" s="56"/>
      <c r="B95" s="56"/>
      <c r="C95" s="57"/>
      <c r="D95" s="56"/>
    </row>
    <row r="96" spans="1:6">
      <c r="A96" s="56"/>
      <c r="B96" s="56"/>
      <c r="C96" s="57"/>
      <c r="D96" s="56"/>
    </row>
    <row r="97" spans="1:4">
      <c r="A97" s="56"/>
      <c r="B97" s="56"/>
      <c r="C97" s="57"/>
      <c r="D97" s="56"/>
    </row>
    <row r="100" spans="1:4">
      <c r="A100" s="54"/>
    </row>
    <row r="101" spans="1:4">
      <c r="A101" s="54"/>
    </row>
    <row r="102" spans="1:4">
      <c r="A102" s="54"/>
    </row>
    <row r="103" spans="1:4">
      <c r="A103" s="54"/>
    </row>
    <row r="104" spans="1:4">
      <c r="A104" s="54"/>
    </row>
    <row r="105" spans="1:4">
      <c r="A105" s="54"/>
    </row>
    <row r="106" spans="1:4">
      <c r="A106" s="54"/>
    </row>
    <row r="108" spans="1:4">
      <c r="A108" s="56"/>
      <c r="B108" s="56"/>
      <c r="C108" s="56"/>
      <c r="D108" s="56"/>
    </row>
    <row r="109" spans="1:4">
      <c r="A109" s="56"/>
      <c r="B109" s="73"/>
      <c r="C109" s="56"/>
      <c r="D109" s="73"/>
    </row>
    <row r="112" spans="1:4">
      <c r="A112" s="54"/>
    </row>
    <row r="114" spans="1:6">
      <c r="A114" s="56"/>
      <c r="B114" s="56"/>
      <c r="C114" s="56"/>
      <c r="D114" s="56"/>
    </row>
    <row r="115" spans="1:6">
      <c r="A115" s="56"/>
      <c r="B115" s="57"/>
      <c r="C115" s="57"/>
      <c r="D115" s="57"/>
    </row>
    <row r="118" spans="1:6">
      <c r="A118" s="54"/>
    </row>
    <row r="119" spans="1:6">
      <c r="A119" s="54"/>
    </row>
    <row r="120" spans="1:6">
      <c r="A120" s="54"/>
    </row>
    <row r="122" spans="1:6">
      <c r="A122" s="56"/>
      <c r="B122" s="56"/>
      <c r="C122" s="56"/>
      <c r="D122" s="56"/>
      <c r="E122" s="56"/>
      <c r="F122" s="56"/>
    </row>
    <row r="123" spans="1:6">
      <c r="A123" s="58"/>
      <c r="B123" s="58"/>
      <c r="C123" s="59"/>
      <c r="D123" s="58"/>
      <c r="E123" s="57"/>
      <c r="F123" s="57"/>
    </row>
    <row r="124" spans="1:6">
      <c r="A124" s="58"/>
      <c r="B124" s="58"/>
      <c r="C124" s="59"/>
      <c r="D124" s="60"/>
      <c r="E124" s="57"/>
      <c r="F124" s="57"/>
    </row>
    <row r="125" spans="1:6">
      <c r="A125" s="58"/>
      <c r="B125" s="58"/>
      <c r="C125" s="59"/>
      <c r="D125" s="58"/>
      <c r="E125" s="57"/>
      <c r="F125" s="57"/>
    </row>
    <row r="126" spans="1:6">
      <c r="A126" s="58"/>
      <c r="B126" s="58"/>
      <c r="C126" s="59"/>
      <c r="D126" s="58"/>
      <c r="E126" s="57"/>
      <c r="F126" s="57"/>
    </row>
    <row r="127" spans="1:6">
      <c r="A127" s="58"/>
      <c r="B127" s="58"/>
      <c r="C127" s="59"/>
      <c r="D127" s="58"/>
      <c r="E127" s="57"/>
      <c r="F127" s="57"/>
    </row>
    <row r="128" spans="1:6">
      <c r="A128" s="58"/>
      <c r="B128" s="58"/>
      <c r="C128" s="59"/>
      <c r="D128" s="60"/>
      <c r="E128" s="57"/>
      <c r="F128" s="57"/>
    </row>
    <row r="129" spans="1:6">
      <c r="A129" s="58"/>
      <c r="B129" s="58"/>
      <c r="C129" s="59"/>
      <c r="D129" s="60"/>
      <c r="E129" s="57"/>
      <c r="F129" s="57"/>
    </row>
    <row r="130" spans="1:6">
      <c r="A130" s="58"/>
      <c r="B130" s="58"/>
      <c r="C130" s="59"/>
      <c r="D130" s="60"/>
      <c r="E130" s="57"/>
      <c r="F130" s="57"/>
    </row>
    <row r="131" spans="1:6">
      <c r="A131" s="58"/>
      <c r="B131" s="58"/>
      <c r="C131" s="59"/>
      <c r="D131" s="60"/>
      <c r="E131" s="57"/>
      <c r="F131" s="57"/>
    </row>
    <row r="132" spans="1:6">
      <c r="A132" s="56"/>
      <c r="B132" s="56"/>
      <c r="C132" s="56"/>
      <c r="D132" s="56"/>
      <c r="E132" s="57"/>
      <c r="F132" s="57"/>
    </row>
    <row r="133" spans="1:6">
      <c r="A133" s="56"/>
      <c r="B133" s="56"/>
      <c r="C133" s="56"/>
      <c r="D133" s="56"/>
      <c r="E133" s="57"/>
      <c r="F133" s="57"/>
    </row>
    <row r="134" spans="1:6">
      <c r="A134" s="56"/>
      <c r="B134" s="56"/>
      <c r="C134" s="56"/>
      <c r="D134" s="56"/>
      <c r="E134" s="57"/>
      <c r="F134" s="57"/>
    </row>
    <row r="137" spans="1:6">
      <c r="A137" s="54"/>
    </row>
    <row r="138" spans="1:6">
      <c r="A138" s="54"/>
    </row>
    <row r="139" spans="1:6">
      <c r="A139" s="54"/>
    </row>
    <row r="141" spans="1:6">
      <c r="A141" s="56"/>
      <c r="B141" s="56"/>
    </row>
    <row r="142" spans="1:6">
      <c r="A142" s="56"/>
      <c r="B142" s="57"/>
    </row>
    <row r="143" spans="1:6">
      <c r="A143" s="56"/>
      <c r="B143" s="57"/>
    </row>
    <row r="144" spans="1:6">
      <c r="A144" s="56"/>
      <c r="B144" s="57"/>
    </row>
    <row r="145" spans="1:3">
      <c r="A145" s="56"/>
      <c r="B145" s="57"/>
    </row>
    <row r="146" spans="1:3">
      <c r="A146" s="56"/>
      <c r="B146" s="57"/>
    </row>
    <row r="147" spans="1:3">
      <c r="A147" s="56"/>
      <c r="B147" s="57"/>
    </row>
    <row r="150" spans="1:3">
      <c r="A150" s="54"/>
    </row>
    <row r="151" spans="1:3">
      <c r="A151" s="54"/>
    </row>
    <row r="152" spans="1:3">
      <c r="A152" s="54"/>
    </row>
    <row r="154" spans="1:3">
      <c r="A154" s="56"/>
      <c r="B154" s="56"/>
      <c r="C154" s="56"/>
    </row>
    <row r="155" spans="1:3">
      <c r="A155" s="56"/>
      <c r="B155" s="57"/>
      <c r="C155" s="57"/>
    </row>
    <row r="156" spans="1:3">
      <c r="A156" s="56"/>
      <c r="B156" s="57"/>
      <c r="C156" s="57"/>
    </row>
    <row r="157" spans="1:3">
      <c r="A157" s="56"/>
      <c r="B157" s="57"/>
      <c r="C157" s="57"/>
    </row>
    <row r="160" spans="1:3">
      <c r="A160" s="54"/>
    </row>
    <row r="161" spans="1:4">
      <c r="A161" s="54"/>
    </row>
    <row r="162" spans="1:4">
      <c r="A162" s="54"/>
    </row>
    <row r="164" spans="1:4">
      <c r="A164" s="56"/>
      <c r="B164" s="56"/>
      <c r="C164" s="56"/>
    </row>
    <row r="165" spans="1:4">
      <c r="A165" s="56"/>
      <c r="B165" s="61"/>
      <c r="C165" s="62"/>
    </row>
    <row r="166" spans="1:4">
      <c r="A166" s="56"/>
      <c r="B166" s="62"/>
      <c r="C166" s="62"/>
    </row>
    <row r="167" spans="1:4">
      <c r="A167" s="56"/>
      <c r="B167" s="62"/>
      <c r="C167" s="62"/>
    </row>
    <row r="168" spans="1:4">
      <c r="A168" s="56"/>
      <c r="B168" s="63"/>
      <c r="C168" s="63"/>
    </row>
    <row r="171" spans="1:4">
      <c r="A171" s="54"/>
    </row>
    <row r="172" spans="1:4">
      <c r="A172" s="54"/>
    </row>
    <row r="173" spans="1:4">
      <c r="A173" s="54"/>
    </row>
    <row r="175" spans="1:4">
      <c r="A175" s="56"/>
      <c r="B175" s="56"/>
      <c r="C175" s="56"/>
      <c r="D175" s="56"/>
    </row>
    <row r="176" spans="1:4">
      <c r="A176" s="56"/>
      <c r="B176" s="56"/>
      <c r="C176" s="61"/>
      <c r="D176" s="57"/>
    </row>
    <row r="177" spans="1:4">
      <c r="A177" s="56"/>
      <c r="B177" s="56"/>
      <c r="C177" s="57"/>
      <c r="D177" s="57"/>
    </row>
    <row r="178" spans="1:4">
      <c r="A178" s="56"/>
      <c r="B178" s="56"/>
      <c r="C178" s="61"/>
      <c r="D178" s="57"/>
    </row>
    <row r="180" spans="1:4">
      <c r="A180" s="54"/>
    </row>
    <row r="181" spans="1:4">
      <c r="A181" s="54"/>
    </row>
    <row r="182" spans="1:4">
      <c r="A182" s="54"/>
    </row>
    <row r="183" spans="1:4">
      <c r="A183" s="54"/>
    </row>
    <row r="184" spans="1:4">
      <c r="A184" s="54"/>
    </row>
    <row r="185" spans="1:4">
      <c r="A185" s="54"/>
    </row>
    <row r="186" spans="1:4">
      <c r="A186" s="54"/>
    </row>
    <row r="187" spans="1:4">
      <c r="A187" s="54"/>
    </row>
    <row r="188" spans="1:4">
      <c r="A188" s="54"/>
    </row>
    <row r="189" spans="1:4">
      <c r="A189" s="54"/>
    </row>
    <row r="190" spans="1:4">
      <c r="A190" s="54"/>
    </row>
    <row r="191" spans="1:4">
      <c r="A191" s="54"/>
    </row>
    <row r="193" spans="1:5">
      <c r="A193" s="56"/>
      <c r="B193" s="56"/>
      <c r="C193" s="56"/>
      <c r="D193" s="56"/>
      <c r="E193" s="56"/>
    </row>
    <row r="194" spans="1:5">
      <c r="A194" s="56"/>
      <c r="B194" s="64"/>
      <c r="C194" s="64"/>
      <c r="D194" s="64"/>
      <c r="E194" s="64"/>
    </row>
    <row r="195" spans="1:5">
      <c r="A195" s="56"/>
      <c r="B195" s="64"/>
      <c r="C195" s="64"/>
      <c r="D195" s="64"/>
      <c r="E195" s="64"/>
    </row>
    <row r="196" spans="1:5">
      <c r="A196" s="56"/>
      <c r="B196" s="64"/>
      <c r="C196" s="64"/>
      <c r="D196" s="64"/>
      <c r="E196" s="64"/>
    </row>
    <row r="197" spans="1:5">
      <c r="A197" s="56"/>
      <c r="B197" s="64"/>
      <c r="C197" s="64"/>
      <c r="D197" s="64"/>
      <c r="E197" s="64"/>
    </row>
    <row r="198" spans="1:5">
      <c r="A198" s="56"/>
      <c r="B198" s="64"/>
      <c r="C198" s="64"/>
      <c r="D198" s="64"/>
      <c r="E198" s="64"/>
    </row>
    <row r="199" spans="1:5">
      <c r="A199" s="56"/>
      <c r="B199" s="64"/>
      <c r="C199" s="64"/>
      <c r="D199" s="64"/>
      <c r="E199" s="64"/>
    </row>
    <row r="200" spans="1:5">
      <c r="A200" s="56"/>
      <c r="B200" s="64"/>
      <c r="C200" s="64"/>
      <c r="D200" s="64"/>
      <c r="E200" s="64"/>
    </row>
    <row r="201" spans="1:5">
      <c r="A201" s="56"/>
      <c r="B201" s="64"/>
      <c r="C201" s="64"/>
      <c r="D201" s="64"/>
      <c r="E201" s="64"/>
    </row>
    <row r="202" spans="1:5">
      <c r="A202" s="56"/>
      <c r="B202" s="64"/>
      <c r="C202" s="64"/>
      <c r="D202" s="64"/>
      <c r="E202" s="64"/>
    </row>
    <row r="203" spans="1:5">
      <c r="A203" s="56"/>
      <c r="B203" s="64"/>
      <c r="C203" s="64"/>
      <c r="D203" s="64"/>
      <c r="E203" s="64"/>
    </row>
    <row r="204" spans="1:5">
      <c r="A204" s="56"/>
      <c r="B204" s="64"/>
      <c r="C204" s="64"/>
      <c r="D204" s="64"/>
      <c r="E204" s="64"/>
    </row>
    <row r="205" spans="1:5">
      <c r="A205" s="56"/>
      <c r="B205" s="64"/>
      <c r="C205" s="64"/>
      <c r="D205" s="64"/>
      <c r="E205" s="64"/>
    </row>
    <row r="206" spans="1:5">
      <c r="A206" s="56"/>
      <c r="B206" s="64"/>
      <c r="C206" s="64"/>
      <c r="D206" s="64"/>
      <c r="E206" s="64"/>
    </row>
    <row r="207" spans="1:5">
      <c r="A207" s="56"/>
      <c r="B207" s="64"/>
      <c r="C207" s="64"/>
      <c r="D207" s="64"/>
      <c r="E207" s="64"/>
    </row>
    <row r="208" spans="1:5">
      <c r="A208" s="56"/>
      <c r="B208" s="64"/>
      <c r="C208" s="64"/>
      <c r="D208" s="64"/>
      <c r="E208" s="64"/>
    </row>
    <row r="211" spans="1:5">
      <c r="A211" s="54"/>
    </row>
    <row r="212" spans="1:5">
      <c r="A212" s="54"/>
    </row>
    <row r="213" spans="1:5">
      <c r="A213" s="54"/>
    </row>
    <row r="215" spans="1:5">
      <c r="A215" s="56"/>
      <c r="B215" s="56"/>
      <c r="C215" s="56"/>
      <c r="D215" s="56"/>
      <c r="E215" s="56"/>
    </row>
    <row r="216" spans="1:5">
      <c r="A216" s="56"/>
      <c r="B216" s="64"/>
      <c r="C216" s="64"/>
      <c r="D216" s="64"/>
      <c r="E216" s="64"/>
    </row>
    <row r="217" spans="1:5">
      <c r="A217" s="56"/>
      <c r="B217" s="64"/>
      <c r="C217" s="64"/>
      <c r="D217" s="64"/>
      <c r="E217" s="64"/>
    </row>
    <row r="218" spans="1:5">
      <c r="A218" s="56"/>
      <c r="B218" s="64"/>
      <c r="C218" s="64"/>
      <c r="D218" s="64"/>
      <c r="E218" s="64"/>
    </row>
    <row r="219" spans="1:5">
      <c r="A219" s="56"/>
      <c r="B219" s="64"/>
      <c r="C219" s="64"/>
      <c r="D219" s="64"/>
      <c r="E219" s="64"/>
    </row>
    <row r="220" spans="1:5">
      <c r="A220" s="56"/>
      <c r="B220" s="64"/>
      <c r="C220" s="64"/>
      <c r="D220" s="64"/>
      <c r="E220" s="64"/>
    </row>
    <row r="221" spans="1:5">
      <c r="A221" s="56"/>
      <c r="B221" s="64"/>
      <c r="C221" s="64"/>
      <c r="D221" s="64"/>
      <c r="E221" s="64"/>
    </row>
    <row r="222" spans="1:5">
      <c r="A222" s="56"/>
      <c r="B222" s="64"/>
      <c r="C222" s="64"/>
      <c r="D222" s="64"/>
      <c r="E222" s="64"/>
    </row>
    <row r="223" spans="1:5">
      <c r="A223" s="56"/>
      <c r="B223" s="74"/>
      <c r="C223" s="64"/>
      <c r="D223" s="64"/>
      <c r="E223" s="74"/>
    </row>
    <row r="224" spans="1:5">
      <c r="A224" s="56"/>
      <c r="B224" s="64"/>
      <c r="C224" s="64"/>
      <c r="D224" s="64"/>
      <c r="E224" s="64"/>
    </row>
    <row r="225" spans="1:5">
      <c r="A225" s="56"/>
      <c r="B225" s="64"/>
      <c r="C225" s="64"/>
      <c r="D225" s="64"/>
      <c r="E225" s="64"/>
    </row>
    <row r="226" spans="1:5">
      <c r="A226" s="56"/>
      <c r="B226" s="64"/>
      <c r="C226" s="64"/>
      <c r="D226" s="64"/>
      <c r="E226" s="64"/>
    </row>
    <row r="229" spans="1:5">
      <c r="A229" s="54"/>
    </row>
    <row r="231" spans="1:5">
      <c r="A231" s="56"/>
      <c r="B231" s="56"/>
      <c r="C231" s="56"/>
      <c r="D231" s="56"/>
      <c r="E231" s="56"/>
    </row>
    <row r="232" spans="1:5">
      <c r="A232" s="56"/>
      <c r="B232" s="64"/>
      <c r="C232" s="64"/>
      <c r="D232" s="64"/>
      <c r="E232" s="64"/>
    </row>
    <row r="233" spans="1:5">
      <c r="A233" s="56"/>
      <c r="B233" s="64"/>
      <c r="C233" s="64"/>
      <c r="D233" s="64"/>
      <c r="E233" s="64"/>
    </row>
    <row r="234" spans="1:5">
      <c r="A234" s="56"/>
      <c r="B234" s="64"/>
      <c r="C234" s="64"/>
      <c r="D234" s="64"/>
      <c r="E234" s="64"/>
    </row>
    <row r="235" spans="1:5">
      <c r="A235" s="56"/>
      <c r="B235" s="64"/>
      <c r="C235" s="64"/>
      <c r="D235" s="64"/>
      <c r="E235" s="64"/>
    </row>
    <row r="236" spans="1:5">
      <c r="A236" s="56"/>
      <c r="B236" s="64"/>
      <c r="C236" s="64"/>
      <c r="D236" s="64"/>
      <c r="E236" s="64"/>
    </row>
    <row r="237" spans="1:5">
      <c r="A237" s="56"/>
      <c r="B237" s="64"/>
      <c r="C237" s="64"/>
      <c r="D237" s="64"/>
      <c r="E237" s="64"/>
    </row>
    <row r="238" spans="1:5">
      <c r="A238" s="56"/>
      <c r="B238" s="64"/>
      <c r="C238" s="64"/>
      <c r="D238" s="64"/>
      <c r="E238" s="64"/>
    </row>
    <row r="239" spans="1:5">
      <c r="A239" s="56"/>
      <c r="B239" s="74"/>
      <c r="C239" s="64"/>
      <c r="D239" s="64"/>
      <c r="E239" s="74"/>
    </row>
    <row r="240" spans="1:5">
      <c r="A240" s="56"/>
      <c r="B240" s="64"/>
      <c r="C240" s="64"/>
      <c r="D240" s="64"/>
      <c r="E240" s="64"/>
    </row>
    <row r="241" spans="1:6">
      <c r="A241" s="56"/>
      <c r="B241" s="64"/>
      <c r="C241" s="64"/>
      <c r="D241" s="64"/>
      <c r="E241" s="64"/>
    </row>
    <row r="242" spans="1:6">
      <c r="A242" s="56"/>
      <c r="B242" s="64"/>
      <c r="C242" s="64"/>
      <c r="D242" s="64"/>
      <c r="E242" s="64"/>
    </row>
    <row r="245" spans="1:6">
      <c r="A245" s="54"/>
    </row>
    <row r="247" spans="1:6">
      <c r="A247" s="56"/>
      <c r="B247" s="56"/>
      <c r="C247" s="56"/>
    </row>
    <row r="248" spans="1:6">
      <c r="A248" s="56"/>
      <c r="B248" s="64"/>
      <c r="C248" s="64"/>
    </row>
    <row r="249" spans="1:6">
      <c r="A249" s="56"/>
      <c r="B249" s="64"/>
      <c r="C249" s="64"/>
    </row>
    <row r="250" spans="1:6">
      <c r="A250" s="56"/>
      <c r="B250" s="64"/>
      <c r="C250" s="64"/>
    </row>
    <row r="253" spans="1:6">
      <c r="A253" s="54"/>
    </row>
    <row r="255" spans="1:6">
      <c r="A255" s="54"/>
      <c r="B255" s="54"/>
      <c r="C255" s="54"/>
      <c r="D255" s="54"/>
      <c r="E255" s="54"/>
      <c r="F255" s="54"/>
    </row>
    <row r="256" spans="1:6">
      <c r="A256" s="54"/>
      <c r="B256" s="54"/>
      <c r="C256" s="54"/>
      <c r="D256" s="54"/>
      <c r="E256" s="54"/>
      <c r="F256" s="54"/>
    </row>
    <row r="257" spans="1:6">
      <c r="A257" s="56"/>
      <c r="B257" s="56"/>
      <c r="C257" s="56"/>
      <c r="D257" s="56"/>
      <c r="E257" s="56"/>
      <c r="F257" s="56"/>
    </row>
    <row r="258" spans="1:6">
      <c r="A258" s="56"/>
      <c r="B258" s="64"/>
      <c r="C258" s="64"/>
      <c r="D258" s="64"/>
      <c r="E258" s="64"/>
      <c r="F258" s="64"/>
    </row>
    <row r="259" spans="1:6">
      <c r="A259" s="56"/>
      <c r="B259" s="64"/>
      <c r="C259" s="64"/>
      <c r="D259" s="64"/>
      <c r="E259" s="64"/>
      <c r="F259" s="64"/>
    </row>
    <row r="260" spans="1:6">
      <c r="A260" s="56"/>
      <c r="B260" s="64"/>
      <c r="C260" s="64"/>
      <c r="D260" s="64"/>
      <c r="E260" s="64"/>
      <c r="F260" s="64"/>
    </row>
    <row r="261" spans="1:6">
      <c r="A261" s="56"/>
      <c r="B261" s="64"/>
      <c r="C261" s="64"/>
      <c r="D261" s="64"/>
      <c r="E261" s="64"/>
      <c r="F261" s="64"/>
    </row>
    <row r="262" spans="1:6">
      <c r="A262" s="56"/>
      <c r="B262" s="64"/>
      <c r="C262" s="64"/>
      <c r="D262" s="64"/>
      <c r="E262" s="64"/>
      <c r="F262" s="64"/>
    </row>
    <row r="263" spans="1:6">
      <c r="A263" s="56"/>
      <c r="B263" s="64"/>
      <c r="C263" s="64"/>
      <c r="D263" s="64"/>
      <c r="E263" s="64"/>
      <c r="F263" s="64"/>
    </row>
    <row r="264" spans="1:6">
      <c r="A264" s="56"/>
      <c r="B264" s="64"/>
      <c r="C264" s="64"/>
      <c r="D264" s="64"/>
      <c r="E264" s="64"/>
      <c r="F264" s="64"/>
    </row>
    <row r="265" spans="1:6">
      <c r="A265" s="56"/>
      <c r="B265" s="64"/>
      <c r="C265" s="64"/>
      <c r="D265" s="64"/>
      <c r="E265" s="64"/>
      <c r="F265" s="64"/>
    </row>
    <row r="266" spans="1:6">
      <c r="A266" s="56"/>
      <c r="B266" s="64"/>
      <c r="C266" s="64"/>
      <c r="D266" s="64"/>
      <c r="E266" s="64"/>
      <c r="F266" s="64"/>
    </row>
    <row r="267" spans="1:6">
      <c r="A267" s="56"/>
      <c r="B267" s="64"/>
      <c r="C267" s="64"/>
      <c r="D267" s="64"/>
      <c r="E267" s="64"/>
      <c r="F267" s="64"/>
    </row>
    <row r="268" spans="1:6">
      <c r="A268" s="56"/>
      <c r="B268" s="64"/>
      <c r="C268" s="64"/>
      <c r="D268" s="64"/>
      <c r="E268" s="64"/>
      <c r="F268" s="64"/>
    </row>
    <row r="269" spans="1:6">
      <c r="A269" s="56"/>
      <c r="B269" s="64"/>
      <c r="C269" s="64"/>
      <c r="D269" s="64"/>
      <c r="E269" s="64"/>
      <c r="F269" s="64"/>
    </row>
    <row r="270" spans="1:6">
      <c r="B270" s="75"/>
    </row>
    <row r="272" spans="1:6">
      <c r="A272" s="54"/>
    </row>
    <row r="273" spans="1:5">
      <c r="A273" s="54"/>
    </row>
    <row r="274" spans="1:5">
      <c r="A274" s="54"/>
    </row>
    <row r="275" spans="1:5">
      <c r="A275" s="54"/>
    </row>
    <row r="276" spans="1:5">
      <c r="A276" s="54"/>
    </row>
    <row r="277" spans="1:5">
      <c r="A277" s="54"/>
    </row>
    <row r="278" spans="1:5">
      <c r="A278" s="54"/>
    </row>
    <row r="280" spans="1:5">
      <c r="A280" s="56"/>
      <c r="B280" s="56"/>
      <c r="C280" s="56"/>
    </row>
    <row r="281" spans="1:5">
      <c r="A281" s="56"/>
      <c r="B281" s="57"/>
      <c r="C281" s="57"/>
    </row>
    <row r="282" spans="1:5">
      <c r="A282" s="56"/>
      <c r="B282" s="61"/>
      <c r="C282" s="61"/>
      <c r="D282" s="69"/>
    </row>
    <row r="283" spans="1:5">
      <c r="A283" s="56"/>
      <c r="B283" s="57"/>
      <c r="C283" s="57"/>
      <c r="E283" s="76"/>
    </row>
    <row r="286" spans="1:5">
      <c r="A286" s="54"/>
    </row>
    <row r="287" spans="1:5">
      <c r="A287" s="54"/>
    </row>
    <row r="288" spans="1:5">
      <c r="A288" s="54"/>
    </row>
    <row r="290" spans="1:6">
      <c r="A290" s="54"/>
      <c r="B290" s="56"/>
      <c r="C290" s="56"/>
      <c r="D290" s="56"/>
      <c r="E290" s="56"/>
    </row>
    <row r="291" spans="1:6">
      <c r="A291" s="54"/>
      <c r="B291" s="56"/>
      <c r="C291" s="56"/>
      <c r="D291" s="56"/>
      <c r="E291" s="56"/>
    </row>
    <row r="292" spans="1:6">
      <c r="A292" s="77"/>
      <c r="B292" s="65"/>
      <c r="C292" s="57"/>
      <c r="D292" s="65"/>
      <c r="E292" s="57"/>
    </row>
    <row r="293" spans="1:6">
      <c r="A293" s="77"/>
      <c r="B293" s="66"/>
      <c r="C293" s="57"/>
      <c r="D293" s="66"/>
      <c r="E293" s="57"/>
    </row>
    <row r="294" spans="1:6">
      <c r="A294" s="77"/>
      <c r="B294" s="65"/>
      <c r="C294" s="57"/>
      <c r="D294" s="56"/>
      <c r="E294" s="57"/>
    </row>
    <row r="295" spans="1:6">
      <c r="A295" s="77"/>
      <c r="B295" s="65"/>
      <c r="C295" s="57"/>
      <c r="D295" s="65"/>
      <c r="E295" s="57"/>
    </row>
    <row r="296" spans="1:6">
      <c r="A296" s="77"/>
      <c r="B296" s="67"/>
      <c r="C296" s="57"/>
      <c r="D296" s="67"/>
      <c r="E296" s="57"/>
    </row>
    <row r="299" spans="1:6">
      <c r="A299" s="54"/>
    </row>
    <row r="300" spans="1:6">
      <c r="A300" s="54"/>
    </row>
    <row r="301" spans="1:6">
      <c r="A301" s="54"/>
    </row>
    <row r="302" spans="1:6">
      <c r="A302" s="54"/>
    </row>
    <row r="303" spans="1:6">
      <c r="A303" s="54"/>
      <c r="F303" s="69"/>
    </row>
    <row r="304" spans="1:6">
      <c r="F304" s="69"/>
    </row>
    <row r="305" spans="1:6">
      <c r="A305" s="56"/>
      <c r="B305" s="56"/>
      <c r="C305" s="56"/>
      <c r="D305" s="56"/>
      <c r="F305" s="69"/>
    </row>
    <row r="306" spans="1:6">
      <c r="A306" s="56"/>
      <c r="B306" s="64"/>
      <c r="C306" s="64"/>
      <c r="D306" s="64"/>
      <c r="E306" s="75"/>
      <c r="F306" s="69"/>
    </row>
    <row r="307" spans="1:6">
      <c r="A307" s="56"/>
      <c r="B307" s="64"/>
      <c r="C307" s="64"/>
      <c r="D307" s="64"/>
      <c r="E307" s="75"/>
      <c r="F307" s="69"/>
    </row>
    <row r="308" spans="1:6">
      <c r="A308" s="56"/>
      <c r="B308" s="64"/>
      <c r="C308" s="64"/>
      <c r="D308" s="64"/>
      <c r="E308" s="75"/>
      <c r="F308" s="69"/>
    </row>
    <row r="309" spans="1:6">
      <c r="A309" s="56"/>
      <c r="B309" s="64"/>
      <c r="C309" s="64"/>
      <c r="D309" s="64"/>
      <c r="E309" s="75"/>
      <c r="F309" s="69"/>
    </row>
    <row r="310" spans="1:6">
      <c r="A310" s="56"/>
      <c r="B310" s="64"/>
      <c r="C310" s="64"/>
      <c r="D310" s="64"/>
      <c r="E310" s="75"/>
      <c r="F310" s="69"/>
    </row>
    <row r="311" spans="1:6">
      <c r="A311" s="56"/>
      <c r="B311" s="64"/>
      <c r="C311" s="64"/>
      <c r="D311" s="64"/>
      <c r="E311" s="75"/>
      <c r="F311" s="69"/>
    </row>
    <row r="312" spans="1:6">
      <c r="A312" s="56"/>
      <c r="B312" s="64"/>
      <c r="C312" s="64"/>
      <c r="D312" s="64"/>
      <c r="E312" s="64"/>
      <c r="F312" s="69"/>
    </row>
    <row r="313" spans="1:6">
      <c r="F313" s="69"/>
    </row>
    <row r="315" spans="1:6">
      <c r="A315" s="54"/>
    </row>
    <row r="317" spans="1:6">
      <c r="A317" s="56"/>
      <c r="B317" s="56"/>
      <c r="C317" s="56"/>
      <c r="D317" s="56"/>
    </row>
    <row r="318" spans="1:6">
      <c r="A318" s="56"/>
      <c r="B318" s="64"/>
      <c r="C318" s="64"/>
      <c r="D318" s="64"/>
    </row>
    <row r="319" spans="1:6">
      <c r="A319" s="56"/>
      <c r="B319" s="64"/>
      <c r="C319" s="64"/>
      <c r="D319" s="64"/>
    </row>
    <row r="320" spans="1:6">
      <c r="A320" s="56"/>
      <c r="B320" s="64"/>
      <c r="C320" s="64"/>
      <c r="D320" s="64"/>
    </row>
    <row r="321" spans="1:4">
      <c r="A321" s="56"/>
      <c r="B321" s="64"/>
      <c r="C321" s="64"/>
      <c r="D321" s="64"/>
    </row>
    <row r="322" spans="1:4">
      <c r="A322" s="56"/>
      <c r="B322" s="64"/>
      <c r="C322" s="64"/>
      <c r="D322" s="64"/>
    </row>
    <row r="323" spans="1:4">
      <c r="A323" s="56"/>
      <c r="B323" s="64"/>
      <c r="C323" s="64"/>
      <c r="D323" s="64"/>
    </row>
    <row r="324" spans="1:4">
      <c r="A324" s="56"/>
      <c r="B324" s="64"/>
      <c r="C324" s="64"/>
      <c r="D324" s="64"/>
    </row>
    <row r="326" spans="1:4">
      <c r="A326" s="54"/>
    </row>
    <row r="327" spans="1:4">
      <c r="A327" s="54"/>
    </row>
    <row r="328" spans="1:4">
      <c r="A328" s="54"/>
    </row>
    <row r="330" spans="1:4">
      <c r="A330" s="56"/>
      <c r="B330" s="56"/>
      <c r="C330" s="56"/>
    </row>
    <row r="331" spans="1:4">
      <c r="A331" s="56"/>
      <c r="B331" s="56"/>
      <c r="C331" s="64"/>
    </row>
    <row r="332" spans="1:4">
      <c r="A332" s="56"/>
      <c r="B332" s="56"/>
      <c r="C332" s="64"/>
    </row>
    <row r="333" spans="1:4">
      <c r="A333" s="56"/>
      <c r="B333" s="56"/>
      <c r="C333" s="64"/>
    </row>
    <row r="334" spans="1:4">
      <c r="A334" s="56"/>
      <c r="B334" s="56"/>
      <c r="C334" s="64"/>
    </row>
    <row r="336" spans="1:4">
      <c r="A336" s="54"/>
    </row>
    <row r="337" spans="1:3">
      <c r="A337" s="54"/>
    </row>
    <row r="338" spans="1:3">
      <c r="A338" s="54"/>
    </row>
    <row r="339" spans="1:3">
      <c r="A339" s="54"/>
    </row>
    <row r="340" spans="1:3">
      <c r="A340" s="54"/>
    </row>
    <row r="341" spans="1:3">
      <c r="A341" s="54"/>
    </row>
    <row r="342" spans="1:3">
      <c r="A342" s="54"/>
    </row>
    <row r="343" spans="1:3">
      <c r="A343" s="54"/>
    </row>
    <row r="344" spans="1:3">
      <c r="A344" s="54"/>
    </row>
    <row r="346" spans="1:3">
      <c r="A346" s="58"/>
      <c r="B346" s="58"/>
      <c r="C346" s="58"/>
    </row>
    <row r="347" spans="1:3">
      <c r="A347" s="56"/>
      <c r="B347" s="57"/>
      <c r="C347" s="57"/>
    </row>
    <row r="348" spans="1:3">
      <c r="A348" s="56"/>
      <c r="B348" s="57"/>
      <c r="C348" s="57"/>
    </row>
    <row r="349" spans="1:3">
      <c r="A349" s="56"/>
      <c r="B349" s="57"/>
      <c r="C349" s="57"/>
    </row>
  </sheetData>
  <phoneticPr fontId="3" type="noConversion"/>
  <pageMargins left="0.15748031496062992" right="0.19685039370078741" top="0.35433070866141736" bottom="0.31496062992125984" header="0.27559055118110237" footer="0.19685039370078741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26">
    <tabColor rgb="FF00B050"/>
  </sheetPr>
  <dimension ref="A1:K53"/>
  <sheetViews>
    <sheetView topLeftCell="A28" zoomScaleSheetLayoutView="85" workbookViewId="0">
      <selection activeCell="C70" sqref="C70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8" width="9" style="223"/>
    <col min="19" max="19" width="11.75" style="223" bestFit="1" customWidth="1"/>
    <col min="20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1" t="str">
        <f>TableofContents!$D$15</f>
        <v>유형자산</v>
      </c>
      <c r="B2" s="372"/>
      <c r="C2" s="372"/>
      <c r="D2" s="372"/>
      <c r="E2" s="372"/>
      <c r="F2" s="1274" t="str">
        <f>TableofContents!$B$15</f>
        <v>G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FS_worksheet!C45</f>
        <v xml:space="preserve">      토              지</v>
      </c>
      <c r="C7" s="230"/>
      <c r="D7" s="230">
        <f>VLOOKUP($B7,FS_worksheet!$C$11:$H$116,3,FALSE)</f>
        <v>2254457228</v>
      </c>
      <c r="E7" s="230"/>
      <c r="F7" s="230">
        <f t="shared" ref="F7:F9" si="0">H7+J7-D7</f>
        <v>0</v>
      </c>
      <c r="G7" s="232"/>
      <c r="H7" s="230"/>
      <c r="I7" s="230"/>
      <c r="J7" s="230">
        <f>VLOOKUP($B7,FS_worksheet!$C$11:$H$116,5,FALSE)</f>
        <v>2254457228</v>
      </c>
      <c r="K7" s="233"/>
    </row>
    <row r="8" spans="1:11" ht="15.75" customHeight="1">
      <c r="A8" s="233"/>
      <c r="B8" s="234" t="str">
        <f>FS_worksheet!C46</f>
        <v xml:space="preserve">      건              물</v>
      </c>
      <c r="C8" s="233"/>
      <c r="D8" s="233">
        <f>VLOOKUP($B8,FS_worksheet!$C$11:$H$116,3,FALSE)</f>
        <v>950617551</v>
      </c>
      <c r="E8" s="233"/>
      <c r="F8" s="233">
        <f t="shared" si="0"/>
        <v>9458000</v>
      </c>
      <c r="G8" s="235"/>
      <c r="H8" s="233"/>
      <c r="I8" s="233"/>
      <c r="J8" s="233">
        <f>VLOOKUP($B8,FS_worksheet!$C$11:$H$116,5,FALSE)</f>
        <v>960075551</v>
      </c>
      <c r="K8" s="233"/>
    </row>
    <row r="9" spans="1:11" ht="15.75" customHeight="1">
      <c r="A9" s="230"/>
      <c r="B9" s="231" t="str">
        <f>FS_worksheet!C48</f>
        <v xml:space="preserve">      비              품</v>
      </c>
      <c r="C9" s="230"/>
      <c r="D9" s="230">
        <f>VLOOKUP($B9,FS_worksheet!$C$11:$H$116,3,FALSE)</f>
        <v>125902779</v>
      </c>
      <c r="E9" s="230"/>
      <c r="F9" s="230">
        <f t="shared" si="0"/>
        <v>1084600</v>
      </c>
      <c r="G9" s="232"/>
      <c r="H9" s="230"/>
      <c r="I9" s="230"/>
      <c r="J9" s="230">
        <f>VLOOKUP($B9,FS_worksheet!$C$11:$H$116,5,FALSE)</f>
        <v>126987379</v>
      </c>
      <c r="K9" s="233"/>
    </row>
    <row r="10" spans="1:11" s="233" customFormat="1" ht="15.75" customHeight="1">
      <c r="B10" s="234"/>
    </row>
    <row r="11" spans="1:11" ht="15.75" customHeight="1">
      <c r="A11" s="230"/>
      <c r="B11" s="231" t="str">
        <f>FS_worksheet!C47</f>
        <v xml:space="preserve">      감가 상각 누 계 액(건물)</v>
      </c>
      <c r="C11" s="230"/>
      <c r="D11" s="230">
        <f>VLOOKUP($B11,FS_worksheet!$C$11:$H$116,3,FALSE)</f>
        <v>-264658339</v>
      </c>
      <c r="E11" s="230"/>
      <c r="F11" s="230">
        <f t="shared" ref="F11:F12" si="1">H11+J11-D11</f>
        <v>-72082609</v>
      </c>
      <c r="G11" s="232"/>
      <c r="H11" s="230"/>
      <c r="I11" s="230"/>
      <c r="J11" s="230">
        <f>VLOOKUP($B11,FS_worksheet!$C$11:$H$116,5,FALSE)</f>
        <v>-336740948</v>
      </c>
      <c r="K11" s="233"/>
    </row>
    <row r="12" spans="1:11" ht="15.75" customHeight="1">
      <c r="A12" s="233"/>
      <c r="B12" s="234" t="str">
        <f>FS_worksheet!C49</f>
        <v xml:space="preserve">      감가 상각 누 계 액(비품)</v>
      </c>
      <c r="C12" s="233"/>
      <c r="D12" s="233">
        <f>VLOOKUP($B12,FS_worksheet!$C$11:$H$116,3,FALSE)</f>
        <v>-98404933</v>
      </c>
      <c r="E12" s="233"/>
      <c r="F12" s="233">
        <f t="shared" si="1"/>
        <v>-13102299</v>
      </c>
      <c r="G12" s="235"/>
      <c r="H12" s="233"/>
      <c r="I12" s="233"/>
      <c r="J12" s="233">
        <f>VLOOKUP($B12,FS_worksheet!$C$11:$H$116,5,FALSE)</f>
        <v>-111507232</v>
      </c>
      <c r="K12" s="233"/>
    </row>
    <row r="13" spans="1:11" ht="15.75" customHeight="1">
      <c r="F13" s="237"/>
      <c r="G13" s="225"/>
      <c r="H13" s="237"/>
      <c r="K13" s="233"/>
    </row>
    <row r="14" spans="1:11" ht="15.75" customHeight="1">
      <c r="F14" s="237"/>
      <c r="G14" s="225"/>
      <c r="H14" s="237"/>
      <c r="K14" s="233"/>
    </row>
    <row r="15" spans="1:11" ht="15.75" customHeight="1">
      <c r="A15" s="222" t="s">
        <v>124</v>
      </c>
    </row>
    <row r="16" spans="1:11" ht="15.75" customHeight="1">
      <c r="A16" s="245" t="s">
        <v>42</v>
      </c>
      <c r="B16" s="223" t="s">
        <v>769</v>
      </c>
    </row>
    <row r="17" spans="1:8" s="225" customFormat="1" ht="15.75" customHeight="1">
      <c r="A17" s="246" t="s">
        <v>232</v>
      </c>
      <c r="B17" s="223" t="s">
        <v>833</v>
      </c>
    </row>
    <row r="18" spans="1:8" s="225" customFormat="1" ht="15.75" customHeight="1">
      <c r="A18" s="247"/>
      <c r="B18" s="223" t="s">
        <v>834</v>
      </c>
      <c r="H18" s="248" t="s">
        <v>128</v>
      </c>
    </row>
    <row r="19" spans="1:8" s="225" customFormat="1" ht="15.75" customHeight="1">
      <c r="A19" s="247"/>
      <c r="B19" s="223" t="s">
        <v>835</v>
      </c>
      <c r="H19" s="248" t="s">
        <v>129</v>
      </c>
    </row>
    <row r="20" spans="1:8" s="225" customFormat="1" ht="15.75" customHeight="1">
      <c r="A20" s="247"/>
      <c r="B20" s="223" t="s">
        <v>836</v>
      </c>
      <c r="H20" s="248" t="s">
        <v>128</v>
      </c>
    </row>
    <row r="21" spans="1:8" s="225" customFormat="1" ht="15.75" customHeight="1">
      <c r="A21" s="247"/>
      <c r="B21" s="223" t="s">
        <v>837</v>
      </c>
      <c r="H21" s="248" t="s">
        <v>128</v>
      </c>
    </row>
    <row r="22" spans="1:8" s="225" customFormat="1" ht="15.75" customHeight="1">
      <c r="A22" s="247"/>
      <c r="B22" s="223" t="s">
        <v>838</v>
      </c>
      <c r="H22" s="248" t="s">
        <v>130</v>
      </c>
    </row>
    <row r="23" spans="1:8" ht="15.75" customHeight="1">
      <c r="A23" s="245" t="s">
        <v>26</v>
      </c>
      <c r="B23" s="223" t="s">
        <v>839</v>
      </c>
    </row>
    <row r="24" spans="1:8" ht="15.75" customHeight="1">
      <c r="A24" s="245" t="s">
        <v>27</v>
      </c>
      <c r="B24" s="223" t="s">
        <v>1079</v>
      </c>
    </row>
    <row r="25" spans="1:8" ht="15.75" customHeight="1">
      <c r="A25" s="245" t="s">
        <v>36</v>
      </c>
      <c r="B25" s="223" t="s">
        <v>840</v>
      </c>
    </row>
    <row r="26" spans="1:8" ht="15.75" customHeight="1">
      <c r="A26" s="245" t="s">
        <v>39</v>
      </c>
      <c r="B26" s="223" t="s">
        <v>1080</v>
      </c>
    </row>
    <row r="27" spans="1:8" ht="15.75" customHeight="1">
      <c r="A27" s="245" t="s">
        <v>43</v>
      </c>
      <c r="B27" s="223" t="s">
        <v>841</v>
      </c>
    </row>
    <row r="28" spans="1:8" ht="15.75" customHeight="1">
      <c r="A28" s="245" t="s">
        <v>44</v>
      </c>
      <c r="B28" s="223" t="s">
        <v>1081</v>
      </c>
    </row>
    <row r="29" spans="1:8" ht="15.75" customHeight="1">
      <c r="A29" s="245" t="s">
        <v>45</v>
      </c>
      <c r="B29" s="223" t="s">
        <v>842</v>
      </c>
    </row>
    <row r="30" spans="1:8" ht="15.75" customHeight="1">
      <c r="A30" s="245" t="s">
        <v>46</v>
      </c>
      <c r="B30" s="223" t="s">
        <v>843</v>
      </c>
    </row>
    <row r="31" spans="1:8" ht="15.75" customHeight="1">
      <c r="A31" s="245" t="s">
        <v>41</v>
      </c>
      <c r="B31" s="223" t="s">
        <v>844</v>
      </c>
    </row>
    <row r="32" spans="1:8" ht="15.75" customHeight="1">
      <c r="A32" s="245" t="s">
        <v>53</v>
      </c>
      <c r="B32" s="223" t="s">
        <v>1082</v>
      </c>
    </row>
    <row r="33" spans="1:2" ht="15.75" customHeight="1">
      <c r="A33" s="245" t="s">
        <v>54</v>
      </c>
      <c r="B33" s="223" t="s">
        <v>1083</v>
      </c>
    </row>
    <row r="34" spans="1:2" ht="15.75" customHeight="1">
      <c r="A34" s="245" t="s">
        <v>55</v>
      </c>
      <c r="B34" s="223" t="s">
        <v>1084</v>
      </c>
    </row>
    <row r="35" spans="1:2" ht="15.75" customHeight="1">
      <c r="A35" s="245" t="s">
        <v>56</v>
      </c>
      <c r="B35" s="223" t="s">
        <v>810</v>
      </c>
    </row>
    <row r="36" spans="1:2" ht="15.75" customHeight="1">
      <c r="A36" s="245"/>
    </row>
    <row r="38" spans="1:2" ht="15.75" customHeight="1">
      <c r="A38" s="222" t="s">
        <v>249</v>
      </c>
    </row>
    <row r="39" spans="1:2" ht="15.75" customHeight="1">
      <c r="A39" s="245" t="s">
        <v>250</v>
      </c>
      <c r="B39" s="223" t="s">
        <v>4817</v>
      </c>
    </row>
    <row r="40" spans="1:2" ht="15.75" customHeight="1">
      <c r="A40" s="245" t="s">
        <v>34</v>
      </c>
      <c r="B40" s="223" t="s">
        <v>4818</v>
      </c>
    </row>
    <row r="41" spans="1:2" ht="15.75" customHeight="1">
      <c r="A41" s="245" t="s">
        <v>35</v>
      </c>
      <c r="B41" s="223" t="s">
        <v>4819</v>
      </c>
    </row>
    <row r="42" spans="1:2" ht="15.75" customHeight="1">
      <c r="A42" s="245" t="s">
        <v>36</v>
      </c>
      <c r="B42" s="223" t="s">
        <v>4820</v>
      </c>
    </row>
    <row r="43" spans="1:2" ht="15.75" customHeight="1">
      <c r="A43" s="245"/>
      <c r="B43" s="223" t="s">
        <v>4821</v>
      </c>
    </row>
    <row r="44" spans="1:2" ht="15.75" customHeight="1">
      <c r="A44" s="245"/>
      <c r="B44" s="223" t="s">
        <v>4822</v>
      </c>
    </row>
    <row r="45" spans="1:2" ht="15.75" customHeight="1">
      <c r="A45" s="245"/>
    </row>
    <row r="46" spans="1:2" s="225" customFormat="1" ht="15.75" customHeight="1">
      <c r="A46" s="228" t="s">
        <v>248</v>
      </c>
    </row>
    <row r="47" spans="1:2" s="225" customFormat="1" ht="15.75" customHeight="1"/>
    <row r="48" spans="1:2" s="225" customFormat="1" ht="15.75" customHeight="1"/>
    <row r="49" spans="1:8" s="225" customFormat="1" ht="15.75" customHeight="1">
      <c r="A49" s="228" t="s">
        <v>762</v>
      </c>
    </row>
    <row r="50" spans="1:8" s="225" customFormat="1" ht="15.75" customHeight="1">
      <c r="A50" s="253" t="s">
        <v>761</v>
      </c>
    </row>
    <row r="51" spans="1:8" ht="15.75" customHeight="1">
      <c r="A51" s="264"/>
      <c r="B51" s="225" t="s">
        <v>754</v>
      </c>
      <c r="C51" s="225"/>
      <c r="D51" s="225"/>
      <c r="E51" s="225"/>
      <c r="F51" s="225" t="s">
        <v>755</v>
      </c>
    </row>
    <row r="52" spans="1:8" ht="15.75" customHeight="1">
      <c r="B52" s="225" t="s">
        <v>3500</v>
      </c>
      <c r="C52" s="225"/>
      <c r="D52" s="225">
        <f>'G200'!K15</f>
        <v>49500</v>
      </c>
      <c r="E52" s="225"/>
      <c r="F52" s="225" t="s">
        <v>3502</v>
      </c>
      <c r="G52" s="225"/>
      <c r="H52" s="225">
        <f>'G200'!G15</f>
        <v>1500000</v>
      </c>
    </row>
    <row r="53" spans="1:8" ht="15.75" customHeight="1">
      <c r="B53" s="225" t="s">
        <v>3503</v>
      </c>
      <c r="C53" s="225"/>
      <c r="D53" s="225">
        <f>H52+H53-D52</f>
        <v>1500000</v>
      </c>
      <c r="E53" s="225"/>
      <c r="F53" s="225" t="s">
        <v>3501</v>
      </c>
      <c r="G53" s="225"/>
      <c r="H53" s="225">
        <f>'G200'!I15</f>
        <v>49500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8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</sheetPr>
  <dimension ref="A1:P65"/>
  <sheetViews>
    <sheetView zoomScaleSheetLayoutView="100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TableofContents!$D$16</f>
        <v>무형자산</v>
      </c>
      <c r="B2" s="449"/>
      <c r="C2" s="449"/>
      <c r="D2" s="449"/>
      <c r="E2" s="449"/>
      <c r="F2" s="449"/>
      <c r="G2" s="450"/>
      <c r="H2" s="1255" t="str">
        <f>"DIR - "&amp;TableofContents!$B$16</f>
        <v>DIR - H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1821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1817</v>
      </c>
    </row>
    <row r="18" spans="1:14" s="225" customFormat="1" ht="15.75" customHeight="1">
      <c r="A18" s="224"/>
      <c r="B18" s="224"/>
      <c r="C18" s="224"/>
      <c r="D18" s="224" t="s">
        <v>1818</v>
      </c>
    </row>
    <row r="19" spans="1:14" s="225" customFormat="1" ht="15.75" customHeight="1">
      <c r="A19" s="224"/>
      <c r="B19" s="224"/>
      <c r="C19" s="224"/>
    </row>
    <row r="20" spans="1:14" s="225" customFormat="1" ht="15.75" customHeight="1">
      <c r="A20" s="224"/>
      <c r="B20" s="224" t="s">
        <v>1069</v>
      </c>
      <c r="C20" s="224" t="s">
        <v>1820</v>
      </c>
      <c r="N20" s="247" t="s">
        <v>1307</v>
      </c>
    </row>
    <row r="21" spans="1:14" s="225" customFormat="1" ht="15.75" customHeight="1">
      <c r="A21" s="224"/>
      <c r="D21" s="471" t="s">
        <v>1819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A22" s="224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A23" s="224"/>
      <c r="B23" s="224" t="s">
        <v>1070</v>
      </c>
      <c r="C23" s="224" t="s">
        <v>1822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1614</v>
      </c>
    </row>
    <row r="24" spans="1:14" s="225" customFormat="1" ht="15.75" customHeight="1">
      <c r="B24" s="224"/>
      <c r="C24" s="224" t="s">
        <v>1823</v>
      </c>
      <c r="D24" s="224"/>
    </row>
    <row r="25" spans="1:14" s="225" customFormat="1" ht="15.75" customHeight="1">
      <c r="B25" s="224"/>
      <c r="C25" s="224"/>
      <c r="D25" s="224"/>
    </row>
    <row r="26" spans="1:14" s="225" customFormat="1" ht="15.75" customHeight="1">
      <c r="B26" s="224" t="s">
        <v>1076</v>
      </c>
      <c r="C26" s="224" t="s">
        <v>1773</v>
      </c>
      <c r="D26" s="224"/>
      <c r="N26" s="247" t="s">
        <v>1729</v>
      </c>
    </row>
    <row r="27" spans="1:14" s="225" customFormat="1" ht="15.75" customHeight="1">
      <c r="B27" s="224"/>
      <c r="C27" s="224"/>
      <c r="D27" s="224" t="s">
        <v>1836</v>
      </c>
      <c r="N27" s="247"/>
    </row>
    <row r="28" spans="1:14" s="225" customFormat="1" ht="15.75" customHeight="1">
      <c r="B28" s="224"/>
      <c r="C28" s="224"/>
      <c r="D28" s="472" t="s">
        <v>1837</v>
      </c>
      <c r="N28" s="247"/>
    </row>
    <row r="29" spans="1:14" s="225" customFormat="1" ht="15.75" customHeight="1">
      <c r="B29" s="224"/>
      <c r="C29" s="224"/>
      <c r="D29" s="472" t="s">
        <v>1838</v>
      </c>
      <c r="N29" s="247"/>
    </row>
    <row r="30" spans="1:14" s="225" customFormat="1" ht="15.75" customHeight="1">
      <c r="B30" s="224"/>
      <c r="C30" s="224"/>
      <c r="D30" s="224"/>
      <c r="N30" s="247"/>
    </row>
    <row r="31" spans="1:14" s="225" customFormat="1" ht="15.75" customHeight="1">
      <c r="B31" s="224" t="s">
        <v>1360</v>
      </c>
      <c r="C31" s="224" t="s">
        <v>1832</v>
      </c>
      <c r="D31" s="224"/>
      <c r="N31" s="247" t="s">
        <v>1584</v>
      </c>
    </row>
    <row r="32" spans="1:14" s="225" customFormat="1" ht="15.75" customHeight="1">
      <c r="B32" s="224"/>
      <c r="C32" s="224"/>
      <c r="D32" s="472" t="s">
        <v>1839</v>
      </c>
      <c r="N32" s="247"/>
    </row>
    <row r="33" spans="1:14" s="225" customFormat="1" ht="15.75" customHeight="1">
      <c r="B33" s="224"/>
      <c r="C33" s="224"/>
      <c r="D33" s="472" t="s">
        <v>1824</v>
      </c>
      <c r="N33" s="247"/>
    </row>
    <row r="34" spans="1:14" s="225" customFormat="1" ht="15.75" customHeight="1">
      <c r="B34" s="224"/>
      <c r="C34" s="224"/>
      <c r="D34" s="472" t="s">
        <v>1840</v>
      </c>
      <c r="N34" s="247"/>
    </row>
    <row r="35" spans="1:14" s="225" customFormat="1" ht="15.75" customHeight="1">
      <c r="B35" s="224"/>
      <c r="C35" s="224"/>
      <c r="D35" s="472" t="s">
        <v>1841</v>
      </c>
      <c r="N35" s="247"/>
    </row>
    <row r="36" spans="1:14" s="225" customFormat="1" ht="15.75" customHeight="1">
      <c r="B36" s="224"/>
      <c r="C36" s="224"/>
      <c r="D36" s="224"/>
      <c r="N36" s="247"/>
    </row>
    <row r="37" spans="1:14" s="225" customFormat="1" ht="15.75" customHeight="1">
      <c r="B37" s="253" t="s">
        <v>1371</v>
      </c>
      <c r="C37" s="224" t="s">
        <v>1825</v>
      </c>
      <c r="D37" s="224"/>
      <c r="N37" s="247" t="s">
        <v>1589</v>
      </c>
    </row>
    <row r="38" spans="1:14" s="225" customFormat="1" ht="15.75" customHeight="1">
      <c r="A38" s="264"/>
      <c r="C38" s="224" t="s">
        <v>1826</v>
      </c>
      <c r="D38" s="472"/>
      <c r="N38" s="247"/>
    </row>
    <row r="39" spans="1:14" s="225" customFormat="1" ht="15.75" customHeight="1">
      <c r="A39" s="264"/>
      <c r="C39" s="224" t="s">
        <v>1827</v>
      </c>
      <c r="D39" s="472"/>
      <c r="N39" s="247"/>
    </row>
    <row r="40" spans="1:14" s="225" customFormat="1" ht="15.75" customHeight="1">
      <c r="A40" s="264"/>
      <c r="C40" s="224"/>
      <c r="D40" s="472"/>
      <c r="N40" s="247"/>
    </row>
    <row r="41" spans="1:14" s="225" customFormat="1" ht="15.75" customHeight="1">
      <c r="A41" s="264"/>
      <c r="B41" s="224" t="s">
        <v>1375</v>
      </c>
      <c r="C41" s="224" t="s">
        <v>1828</v>
      </c>
      <c r="D41" s="472"/>
      <c r="N41" s="247" t="s">
        <v>1584</v>
      </c>
    </row>
    <row r="42" spans="1:14" s="225" customFormat="1" ht="15.75" customHeight="1">
      <c r="A42" s="264"/>
      <c r="C42" s="224" t="s">
        <v>1829</v>
      </c>
      <c r="D42" s="472"/>
      <c r="N42" s="247"/>
    </row>
    <row r="43" spans="1:14" s="225" customFormat="1" ht="15.75" customHeight="1">
      <c r="A43" s="264"/>
      <c r="C43" s="224"/>
      <c r="D43" s="472"/>
      <c r="N43" s="247"/>
    </row>
    <row r="44" spans="1:14" s="225" customFormat="1" ht="15.75" customHeight="1">
      <c r="A44" s="264"/>
      <c r="B44" s="224" t="s">
        <v>1376</v>
      </c>
      <c r="C44" s="224" t="s">
        <v>1833</v>
      </c>
      <c r="D44" s="224"/>
      <c r="N44" s="247" t="s">
        <v>1584</v>
      </c>
    </row>
    <row r="45" spans="1:14" s="225" customFormat="1" ht="15.75" customHeight="1">
      <c r="A45" s="264"/>
      <c r="D45" s="472"/>
      <c r="N45" s="475"/>
    </row>
    <row r="46" spans="1:14" s="225" customFormat="1" ht="15.75" customHeight="1">
      <c r="A46" s="264"/>
      <c r="B46" s="224" t="s">
        <v>1379</v>
      </c>
      <c r="C46" s="224" t="s">
        <v>1834</v>
      </c>
      <c r="D46" s="224"/>
      <c r="N46" s="247" t="s">
        <v>1589</v>
      </c>
    </row>
    <row r="47" spans="1:14" s="225" customFormat="1" ht="15.75" customHeight="1">
      <c r="A47" s="264"/>
      <c r="C47" s="224"/>
      <c r="D47" s="472" t="s">
        <v>1830</v>
      </c>
      <c r="N47" s="247"/>
    </row>
    <row r="48" spans="1:14" s="225" customFormat="1" ht="15.75" customHeight="1">
      <c r="A48" s="264"/>
      <c r="D48" s="224" t="s">
        <v>1765</v>
      </c>
      <c r="N48" s="247"/>
    </row>
    <row r="49" spans="1:14" s="225" customFormat="1" ht="15.75" customHeight="1">
      <c r="A49" s="264"/>
      <c r="D49" s="224"/>
      <c r="N49" s="247"/>
    </row>
    <row r="50" spans="1:14" s="225" customFormat="1" ht="15.75" customHeight="1">
      <c r="A50" s="264"/>
      <c r="B50" s="224" t="s">
        <v>1381</v>
      </c>
      <c r="C50" s="224" t="s">
        <v>1835</v>
      </c>
      <c r="D50" s="224"/>
      <c r="N50" s="247" t="s">
        <v>1768</v>
      </c>
    </row>
    <row r="51" spans="1:14" s="225" customFormat="1" ht="15.75" customHeight="1">
      <c r="A51" s="264"/>
      <c r="D51" s="472" t="s">
        <v>1842</v>
      </c>
      <c r="N51" s="247"/>
    </row>
    <row r="52" spans="1:14" s="225" customFormat="1" ht="15.75" customHeight="1">
      <c r="A52" s="264"/>
      <c r="D52" s="472" t="s">
        <v>1843</v>
      </c>
      <c r="N52" s="247"/>
    </row>
    <row r="53" spans="1:14" s="225" customFormat="1" ht="15.75" customHeight="1">
      <c r="A53" s="264"/>
      <c r="D53" s="472" t="s">
        <v>1844</v>
      </c>
      <c r="N53" s="247"/>
    </row>
    <row r="54" spans="1:14" s="225" customFormat="1" ht="15.75" customHeight="1">
      <c r="A54" s="264"/>
      <c r="D54" s="472" t="s">
        <v>1845</v>
      </c>
      <c r="N54" s="247"/>
    </row>
    <row r="55" spans="1:14" s="225" customFormat="1" ht="15.75" customHeight="1">
      <c r="A55" s="264"/>
      <c r="D55" s="472" t="s">
        <v>1846</v>
      </c>
      <c r="N55" s="247"/>
    </row>
    <row r="56" spans="1:14" s="225" customFormat="1" ht="15.75" customHeight="1">
      <c r="A56" s="264"/>
      <c r="D56" s="472" t="s">
        <v>1847</v>
      </c>
      <c r="N56" s="247"/>
    </row>
    <row r="57" spans="1:14" s="225" customFormat="1" ht="15.75" customHeight="1">
      <c r="A57" s="264"/>
      <c r="D57" s="472" t="s">
        <v>1848</v>
      </c>
      <c r="N57" s="247"/>
    </row>
    <row r="58" spans="1:14" s="225" customFormat="1" ht="15.75" customHeight="1">
      <c r="A58" s="264"/>
      <c r="D58" s="472" t="s">
        <v>1849</v>
      </c>
      <c r="N58" s="247"/>
    </row>
    <row r="59" spans="1:14" s="225" customFormat="1" ht="15.75" customHeight="1">
      <c r="A59" s="264"/>
      <c r="D59" s="472" t="s">
        <v>1850</v>
      </c>
      <c r="N59" s="247"/>
    </row>
    <row r="60" spans="1:14" s="225" customFormat="1" ht="15.75" customHeight="1">
      <c r="A60" s="264"/>
      <c r="B60" s="224"/>
      <c r="C60" s="224"/>
      <c r="D60" s="472" t="s">
        <v>1851</v>
      </c>
      <c r="N60" s="247"/>
    </row>
    <row r="61" spans="1:14" s="225" customFormat="1" ht="15.75" customHeight="1">
      <c r="A61" s="264"/>
      <c r="D61" s="472" t="s">
        <v>1852</v>
      </c>
    </row>
    <row r="62" spans="1:14" s="225" customFormat="1" ht="15.75" customHeight="1">
      <c r="A62" s="264"/>
      <c r="D62" s="472"/>
    </row>
    <row r="63" spans="1:14" s="225" customFormat="1" ht="15.75" customHeight="1">
      <c r="B63" s="224" t="s">
        <v>1831</v>
      </c>
      <c r="C63" s="224" t="s">
        <v>1391</v>
      </c>
      <c r="D63" s="224"/>
    </row>
    <row r="64" spans="1:14" s="225" customFormat="1" ht="15.75" customHeight="1"/>
    <row r="65" spans="2:3" s="225" customFormat="1" ht="15.75" customHeight="1">
      <c r="B65" s="224"/>
      <c r="C6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6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27">
    <tabColor rgb="FF00B050"/>
  </sheetPr>
  <dimension ref="A1:K46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52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1" t="str">
        <f>TableofContents!$D$16</f>
        <v>무형자산</v>
      </c>
      <c r="B2" s="372"/>
      <c r="C2" s="372"/>
      <c r="D2" s="372"/>
      <c r="E2" s="372"/>
      <c r="F2" s="1274" t="str">
        <f>TableofContents!$B$16</f>
        <v>H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4" spans="1:11" ht="15.75" customHeight="1">
      <c r="A4" s="223"/>
    </row>
    <row r="5" spans="1:11" ht="15.75" customHeight="1">
      <c r="A5" s="223"/>
    </row>
    <row r="6" spans="1:11" ht="15.75" customHeight="1">
      <c r="A6" s="223"/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FS_worksheet!C45</f>
        <v xml:space="preserve">      토              지</v>
      </c>
      <c r="C7" s="230"/>
      <c r="D7" s="230">
        <f>VLOOKUP($B7,FS_worksheet!$C$11:$H$116,3,FALSE)</f>
        <v>2254457228</v>
      </c>
      <c r="E7" s="230"/>
      <c r="F7" s="230">
        <f>H7+J7-D7</f>
        <v>0</v>
      </c>
      <c r="G7" s="232"/>
      <c r="H7" s="230"/>
      <c r="I7" s="230"/>
      <c r="J7" s="230">
        <f>VLOOKUP($B7,FS_worksheet!$C$11:$H$116,5,FALSE)</f>
        <v>2254457228</v>
      </c>
      <c r="K7" s="233"/>
    </row>
    <row r="8" spans="1:11" ht="15.75" customHeight="1">
      <c r="A8" s="233"/>
      <c r="B8" s="234" t="str">
        <f>FS_worksheet!C46</f>
        <v xml:space="preserve">      건              물</v>
      </c>
      <c r="C8" s="233"/>
      <c r="D8" s="233">
        <f>VLOOKUP($B8,FS_worksheet!$C$11:$H$116,3,FALSE)</f>
        <v>950617551</v>
      </c>
      <c r="E8" s="233"/>
      <c r="F8" s="233">
        <f>H8+J8-D8</f>
        <v>9458000</v>
      </c>
      <c r="G8" s="235"/>
      <c r="H8" s="233"/>
      <c r="I8" s="233"/>
      <c r="J8" s="233">
        <f>VLOOKUP($B8,FS_worksheet!$C$11:$H$116,5,FALSE)</f>
        <v>960075551</v>
      </c>
    </row>
    <row r="9" spans="1:11" ht="15.75" customHeight="1">
      <c r="A9" s="230"/>
      <c r="B9" s="231" t="str">
        <f>FS_worksheet!C48</f>
        <v xml:space="preserve">      비              품</v>
      </c>
      <c r="C9" s="230"/>
      <c r="D9" s="230">
        <f>VLOOKUP($B9,FS_worksheet!$C$11:$H$116,3,FALSE)</f>
        <v>125902779</v>
      </c>
      <c r="E9" s="230"/>
      <c r="F9" s="230">
        <f>H9+J9-D9</f>
        <v>1084600</v>
      </c>
      <c r="G9" s="232"/>
      <c r="H9" s="230"/>
      <c r="I9" s="230"/>
      <c r="J9" s="230">
        <f>VLOOKUP($B9,FS_worksheet!$C$11:$H$116,5,FALSE)</f>
        <v>126987379</v>
      </c>
    </row>
    <row r="10" spans="1:11" ht="15.75" customHeight="1">
      <c r="A10" s="233"/>
      <c r="B10" s="234" t="str">
        <f>FS_worksheet!C48</f>
        <v xml:space="preserve">      비              품</v>
      </c>
      <c r="C10" s="233"/>
      <c r="D10" s="233">
        <f>VLOOKUP($B10,FS_worksheet!$C$11:$H$116,3,FALSE)</f>
        <v>125902779</v>
      </c>
      <c r="E10" s="233"/>
      <c r="F10" s="233">
        <f>H10+J10-D10</f>
        <v>1084600</v>
      </c>
      <c r="G10" s="235"/>
      <c r="H10" s="233"/>
      <c r="I10" s="233"/>
      <c r="J10" s="233">
        <f>VLOOKUP($B10,FS_worksheet!$C$11:$H$116,5,FALSE)</f>
        <v>126987379</v>
      </c>
    </row>
    <row r="11" spans="1:11" ht="15.75" customHeight="1">
      <c r="A11" s="233"/>
      <c r="B11" s="234"/>
      <c r="C11" s="233"/>
      <c r="D11" s="233"/>
      <c r="E11" s="233"/>
      <c r="F11" s="233"/>
      <c r="G11" s="235"/>
      <c r="H11" s="233"/>
      <c r="I11" s="233"/>
      <c r="J11" s="233"/>
    </row>
    <row r="12" spans="1:11" ht="15.75" customHeight="1">
      <c r="A12" s="223"/>
    </row>
    <row r="13" spans="1:11" ht="15.75" customHeight="1">
      <c r="A13" s="222" t="s">
        <v>124</v>
      </c>
    </row>
    <row r="14" spans="1:11" ht="15.75" customHeight="1">
      <c r="A14" s="245" t="s">
        <v>42</v>
      </c>
      <c r="B14" s="223" t="s">
        <v>769</v>
      </c>
    </row>
    <row r="15" spans="1:11" ht="15.75" customHeight="1">
      <c r="A15" s="250"/>
      <c r="B15" s="223" t="s">
        <v>131</v>
      </c>
      <c r="D15" s="223" t="s">
        <v>132</v>
      </c>
    </row>
    <row r="16" spans="1:11" ht="15.75" customHeight="1">
      <c r="A16" s="251"/>
      <c r="B16" s="244" t="s">
        <v>845</v>
      </c>
      <c r="J16" s="238" t="s">
        <v>133</v>
      </c>
    </row>
    <row r="17" spans="1:10" ht="15.75" customHeight="1">
      <c r="A17" s="251"/>
      <c r="B17" s="244" t="s">
        <v>846</v>
      </c>
      <c r="J17" s="238" t="s">
        <v>133</v>
      </c>
    </row>
    <row r="18" spans="1:10" ht="15.75" customHeight="1">
      <c r="A18" s="251"/>
      <c r="B18" s="244" t="s">
        <v>847</v>
      </c>
      <c r="D18" s="238" t="s">
        <v>132</v>
      </c>
    </row>
    <row r="19" spans="1:10" s="225" customFormat="1" ht="15.75" customHeight="1">
      <c r="A19" s="245" t="s">
        <v>34</v>
      </c>
      <c r="B19" s="223" t="s">
        <v>1001</v>
      </c>
    </row>
    <row r="20" spans="1:10" s="225" customFormat="1" ht="15.75" customHeight="1">
      <c r="A20" s="245" t="s">
        <v>35</v>
      </c>
      <c r="B20" s="223" t="s">
        <v>1002</v>
      </c>
    </row>
    <row r="21" spans="1:10" s="225" customFormat="1" ht="15.75" customHeight="1">
      <c r="A21" s="245" t="s">
        <v>36</v>
      </c>
      <c r="B21" s="223" t="s">
        <v>1003</v>
      </c>
    </row>
    <row r="22" spans="1:10" ht="15.75" customHeight="1">
      <c r="A22" s="245" t="s">
        <v>39</v>
      </c>
      <c r="B22" s="223" t="s">
        <v>848</v>
      </c>
    </row>
    <row r="23" spans="1:10" ht="15.75" customHeight="1">
      <c r="A23" s="245" t="s">
        <v>43</v>
      </c>
      <c r="B23" s="223" t="s">
        <v>1004</v>
      </c>
    </row>
    <row r="24" spans="1:10" ht="15.75" customHeight="1">
      <c r="A24" s="245" t="s">
        <v>44</v>
      </c>
      <c r="B24" s="223" t="s">
        <v>1005</v>
      </c>
    </row>
    <row r="25" spans="1:10" ht="15.75" customHeight="1">
      <c r="A25" s="245" t="s">
        <v>45</v>
      </c>
      <c r="B25" s="223" t="s">
        <v>810</v>
      </c>
    </row>
    <row r="26" spans="1:10" ht="15.75" customHeight="1">
      <c r="A26" s="245"/>
    </row>
    <row r="27" spans="1:10" ht="15.75" customHeight="1">
      <c r="A27" s="223"/>
    </row>
    <row r="28" spans="1:10" ht="15.75" customHeight="1">
      <c r="A28" s="222" t="s">
        <v>125</v>
      </c>
    </row>
    <row r="29" spans="1:10" ht="15.75" customHeight="1">
      <c r="A29" s="245" t="s">
        <v>2</v>
      </c>
      <c r="B29" s="223" t="s">
        <v>1000</v>
      </c>
    </row>
    <row r="30" spans="1:10" ht="15.75" customHeight="1">
      <c r="A30" s="245" t="s">
        <v>34</v>
      </c>
      <c r="B30" s="223" t="s">
        <v>849</v>
      </c>
    </row>
    <row r="31" spans="1:10" ht="15.75" customHeight="1">
      <c r="A31" s="245"/>
      <c r="B31" s="227" t="s">
        <v>998</v>
      </c>
    </row>
    <row r="32" spans="1:10" ht="15.75" customHeight="1">
      <c r="A32" s="245" t="s">
        <v>35</v>
      </c>
      <c r="B32" s="223" t="s">
        <v>853</v>
      </c>
    </row>
    <row r="33" spans="1:6" ht="15.75" customHeight="1">
      <c r="A33" s="245" t="s">
        <v>36</v>
      </c>
      <c r="B33" s="223" t="s">
        <v>999</v>
      </c>
    </row>
    <row r="34" spans="1:6" ht="15.75" customHeight="1">
      <c r="B34" s="223" t="s">
        <v>850</v>
      </c>
    </row>
    <row r="35" spans="1:6" ht="15.75" customHeight="1">
      <c r="B35" s="223" t="s">
        <v>851</v>
      </c>
    </row>
    <row r="36" spans="1:6" ht="15.75" customHeight="1">
      <c r="A36" s="245" t="s">
        <v>39</v>
      </c>
      <c r="B36" s="223" t="s">
        <v>1006</v>
      </c>
    </row>
    <row r="37" spans="1:6" ht="15.75" customHeight="1">
      <c r="A37" s="245" t="s">
        <v>30</v>
      </c>
      <c r="B37" s="223" t="s">
        <v>1007</v>
      </c>
    </row>
    <row r="38" spans="1:6" ht="15.75" customHeight="1">
      <c r="A38" s="245" t="s">
        <v>31</v>
      </c>
      <c r="B38" s="223" t="s">
        <v>1008</v>
      </c>
    </row>
    <row r="39" spans="1:6" ht="15.75" customHeight="1">
      <c r="A39" s="245" t="s">
        <v>32</v>
      </c>
      <c r="B39" s="223" t="s">
        <v>852</v>
      </c>
    </row>
    <row r="41" spans="1:6" s="225" customFormat="1" ht="15.75" customHeight="1">
      <c r="A41" s="228" t="s">
        <v>248</v>
      </c>
    </row>
    <row r="42" spans="1:6" s="225" customFormat="1" ht="15.75" customHeight="1"/>
    <row r="43" spans="1:6" s="225" customFormat="1" ht="15.75" customHeight="1"/>
    <row r="44" spans="1:6" s="225" customFormat="1" ht="15.75" customHeight="1">
      <c r="A44" s="228" t="s">
        <v>762</v>
      </c>
    </row>
    <row r="45" spans="1:6" s="225" customFormat="1" ht="15.75" customHeight="1">
      <c r="A45" s="253" t="s">
        <v>761</v>
      </c>
    </row>
    <row r="46" spans="1:6" s="225" customFormat="1" ht="15.75" customHeight="1">
      <c r="A46" s="264"/>
      <c r="B46" s="225" t="s">
        <v>754</v>
      </c>
      <c r="F46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F0"/>
  </sheetPr>
  <dimension ref="A1:I56"/>
  <sheetViews>
    <sheetView topLeftCell="A16" workbookViewId="0">
      <selection activeCell="C70" sqref="C70"/>
    </sheetView>
  </sheetViews>
  <sheetFormatPr defaultRowHeight="16.5"/>
  <cols>
    <col min="1" max="1" width="3.25" customWidth="1"/>
    <col min="2" max="2" width="20.625" customWidth="1"/>
    <col min="3" max="3" width="19.25" bestFit="1" customWidth="1"/>
    <col min="4" max="4" width="14.625" bestFit="1" customWidth="1"/>
    <col min="5" max="5" width="11.875" bestFit="1" customWidth="1"/>
    <col min="6" max="6" width="13" bestFit="1" customWidth="1"/>
    <col min="7" max="8" width="14.625" bestFit="1" customWidth="1"/>
    <col min="9" max="9" width="9.875" bestFit="1" customWidth="1"/>
  </cols>
  <sheetData>
    <row r="1" spans="1:9">
      <c r="A1" s="371" t="str">
        <f>기본사항!$C$2</f>
        <v>(재)한국여성재단</v>
      </c>
      <c r="B1" s="809"/>
      <c r="C1" s="809"/>
      <c r="D1" s="809"/>
      <c r="E1" s="1253" t="s">
        <v>112</v>
      </c>
      <c r="F1" s="1254"/>
      <c r="G1" s="1281" t="s">
        <v>0</v>
      </c>
      <c r="H1" s="1281"/>
      <c r="I1" s="460" t="s">
        <v>1</v>
      </c>
    </row>
    <row r="2" spans="1:9">
      <c r="A2" s="808" t="s">
        <v>3132</v>
      </c>
      <c r="B2" s="809"/>
      <c r="C2" s="809"/>
      <c r="D2" s="809"/>
      <c r="E2" s="1255" t="s">
        <v>3133</v>
      </c>
      <c r="F2" s="1256"/>
      <c r="G2" s="1198">
        <f>기본사항!$C$14</f>
        <v>40563</v>
      </c>
      <c r="H2" s="1198"/>
      <c r="I2" s="1276" t="str">
        <f>기본사항!$C$17</f>
        <v>Kbj</v>
      </c>
    </row>
    <row r="3" spans="1:9">
      <c r="A3" s="375" t="str">
        <f>기본사항!$C$9</f>
        <v>A : 12-31-2011</v>
      </c>
      <c r="B3" s="809"/>
      <c r="C3" s="809"/>
      <c r="D3" s="809"/>
      <c r="E3" s="1257"/>
      <c r="F3" s="1258"/>
      <c r="G3" s="1198"/>
      <c r="H3" s="1198"/>
      <c r="I3" s="1264"/>
    </row>
    <row r="5" spans="1:9">
      <c r="A5" t="s">
        <v>3134</v>
      </c>
    </row>
    <row r="6" spans="1:9">
      <c r="B6" t="s">
        <v>3135</v>
      </c>
    </row>
    <row r="8" spans="1:9">
      <c r="A8" t="s">
        <v>3136</v>
      </c>
    </row>
    <row r="9" spans="1:9">
      <c r="B9" s="810" t="s">
        <v>3137</v>
      </c>
      <c r="C9" s="1282" t="s">
        <v>3138</v>
      </c>
      <c r="D9" s="1282"/>
      <c r="E9" s="1282" t="s">
        <v>3139</v>
      </c>
      <c r="F9" s="1282"/>
      <c r="G9" s="810" t="s">
        <v>3140</v>
      </c>
      <c r="H9" s="810" t="s">
        <v>3141</v>
      </c>
      <c r="I9" s="810" t="s">
        <v>3142</v>
      </c>
    </row>
    <row r="10" spans="1:9">
      <c r="B10" s="810" t="s">
        <v>3143</v>
      </c>
      <c r="C10" s="811">
        <v>40543</v>
      </c>
      <c r="D10" s="811">
        <v>40908</v>
      </c>
      <c r="E10" s="812"/>
      <c r="F10" s="812"/>
      <c r="G10" s="811">
        <v>40908</v>
      </c>
      <c r="H10" s="812"/>
      <c r="I10" s="812"/>
    </row>
    <row r="11" spans="1:9">
      <c r="B11" s="810" t="s">
        <v>3268</v>
      </c>
      <c r="C11" s="813">
        <f>FS_worksheet!E45</f>
        <v>2254457228</v>
      </c>
      <c r="D11" s="813">
        <f>FS_worksheet!G45</f>
        <v>2254457228</v>
      </c>
      <c r="E11" s="813"/>
      <c r="F11" s="813"/>
      <c r="G11" s="813">
        <f>D11+E11-F11</f>
        <v>2254457228</v>
      </c>
      <c r="H11" s="813">
        <f>G11-D11</f>
        <v>0</v>
      </c>
      <c r="I11" s="814">
        <f>H11/C11</f>
        <v>0</v>
      </c>
    </row>
    <row r="12" spans="1:9">
      <c r="B12" s="810" t="s">
        <v>3270</v>
      </c>
      <c r="C12" s="813">
        <f>FS_worksheet!E46</f>
        <v>950617551</v>
      </c>
      <c r="D12" s="813">
        <f>FS_worksheet!G46</f>
        <v>960075551</v>
      </c>
      <c r="E12" s="813"/>
      <c r="F12" s="813"/>
      <c r="G12" s="813">
        <f t="shared" ref="G12:G13" si="0">D12+E12-F12</f>
        <v>960075551</v>
      </c>
      <c r="H12" s="813">
        <f t="shared" ref="H12:H13" si="1">G12-D12</f>
        <v>0</v>
      </c>
      <c r="I12" s="814">
        <f t="shared" ref="I12:I13" si="2">H12/C12</f>
        <v>0</v>
      </c>
    </row>
    <row r="13" spans="1:9">
      <c r="B13" s="810" t="s">
        <v>3144</v>
      </c>
      <c r="C13" s="813">
        <f>FS_worksheet!E48</f>
        <v>125902779</v>
      </c>
      <c r="D13" s="813">
        <f>FS_worksheet!G48</f>
        <v>126987379</v>
      </c>
      <c r="E13" s="813"/>
      <c r="F13" s="813"/>
      <c r="G13" s="813">
        <f t="shared" si="0"/>
        <v>126987379</v>
      </c>
      <c r="H13" s="813">
        <f t="shared" si="1"/>
        <v>0</v>
      </c>
      <c r="I13" s="814">
        <f t="shared" si="2"/>
        <v>0</v>
      </c>
    </row>
    <row r="14" spans="1:9" ht="17.25" thickBot="1">
      <c r="B14" s="815" t="s">
        <v>2433</v>
      </c>
      <c r="C14" s="816">
        <f>SUM(C11:C13)</f>
        <v>3330977558</v>
      </c>
      <c r="D14" s="816">
        <f t="shared" ref="D14:G14" si="3">SUM(D11:D13)</f>
        <v>3341520158</v>
      </c>
      <c r="E14" s="816">
        <f t="shared" si="3"/>
        <v>0</v>
      </c>
      <c r="F14" s="816">
        <f t="shared" si="3"/>
        <v>0</v>
      </c>
      <c r="G14" s="816">
        <f t="shared" si="3"/>
        <v>3341520158</v>
      </c>
      <c r="H14" s="816">
        <f>SUM(H11:H13)</f>
        <v>0</v>
      </c>
      <c r="I14" s="817"/>
    </row>
    <row r="15" spans="1:9" ht="17.25" thickTop="1">
      <c r="B15" s="818"/>
      <c r="C15" s="819">
        <f>C14-FS_worksheet!E45-FS_worksheet!E46-FS_worksheet!E48</f>
        <v>0</v>
      </c>
      <c r="D15" s="820"/>
      <c r="E15" s="820"/>
      <c r="F15" s="820"/>
      <c r="G15" s="820"/>
      <c r="H15" s="820"/>
      <c r="I15" s="820"/>
    </row>
    <row r="17" spans="2:9">
      <c r="B17" s="810" t="s">
        <v>3137</v>
      </c>
      <c r="C17" s="1283" t="s">
        <v>3145</v>
      </c>
      <c r="D17" s="1284"/>
      <c r="E17" s="1283" t="s">
        <v>3139</v>
      </c>
      <c r="F17" s="1284"/>
      <c r="G17" s="810" t="s">
        <v>3140</v>
      </c>
      <c r="H17" s="810" t="s">
        <v>3146</v>
      </c>
      <c r="I17" s="810" t="s">
        <v>3142</v>
      </c>
    </row>
    <row r="18" spans="2:9">
      <c r="B18" s="810" t="s">
        <v>3147</v>
      </c>
      <c r="C18" s="811">
        <v>40543</v>
      </c>
      <c r="D18" s="811">
        <v>40908</v>
      </c>
      <c r="E18" s="812"/>
      <c r="F18" s="812"/>
      <c r="G18" s="811">
        <v>40908</v>
      </c>
      <c r="H18" s="812"/>
      <c r="I18" s="812"/>
    </row>
    <row r="19" spans="2:9">
      <c r="B19" s="810" t="s">
        <v>3269</v>
      </c>
      <c r="C19" s="813">
        <f>-FS_worksheet!E47</f>
        <v>264658339</v>
      </c>
      <c r="D19" s="813">
        <f>-FS_worksheet!G47</f>
        <v>336740948</v>
      </c>
      <c r="E19" s="813"/>
      <c r="F19" s="813"/>
      <c r="G19" s="813">
        <f t="shared" ref="G19:G20" si="4">D19+F19-E19</f>
        <v>336740948</v>
      </c>
      <c r="H19" s="813">
        <f t="shared" ref="H19:H20" si="5">G19-D19</f>
        <v>0</v>
      </c>
      <c r="I19" s="814">
        <f t="shared" ref="I19:I20" si="6">H19/C19</f>
        <v>0</v>
      </c>
    </row>
    <row r="20" spans="2:9">
      <c r="B20" s="810" t="s">
        <v>3148</v>
      </c>
      <c r="C20" s="813">
        <f>-FS_worksheet!E49</f>
        <v>98404933</v>
      </c>
      <c r="D20" s="813">
        <f>-FS_worksheet!G49</f>
        <v>111507232</v>
      </c>
      <c r="E20" s="813"/>
      <c r="F20" s="813"/>
      <c r="G20" s="813">
        <f t="shared" si="4"/>
        <v>111507232</v>
      </c>
      <c r="H20" s="813">
        <f t="shared" si="5"/>
        <v>0</v>
      </c>
      <c r="I20" s="814">
        <f t="shared" si="6"/>
        <v>0</v>
      </c>
    </row>
    <row r="21" spans="2:9" ht="17.25" thickBot="1">
      <c r="B21" s="815" t="s">
        <v>2433</v>
      </c>
      <c r="C21" s="816">
        <f t="shared" ref="C21:H21" si="7">SUM(C19:C20)</f>
        <v>363063272</v>
      </c>
      <c r="D21" s="816">
        <f t="shared" si="7"/>
        <v>448248180</v>
      </c>
      <c r="E21" s="816">
        <f t="shared" si="7"/>
        <v>0</v>
      </c>
      <c r="F21" s="816">
        <f t="shared" si="7"/>
        <v>0</v>
      </c>
      <c r="G21" s="816">
        <f t="shared" si="7"/>
        <v>448248180</v>
      </c>
      <c r="H21" s="816">
        <f t="shared" si="7"/>
        <v>0</v>
      </c>
      <c r="I21" s="817"/>
    </row>
    <row r="22" spans="2:9" ht="17.25" thickTop="1">
      <c r="C22" s="821">
        <f>C21+FS_worksheet!E47+FS_worksheet!E49</f>
        <v>0</v>
      </c>
    </row>
    <row r="24" spans="2:9">
      <c r="B24" t="s">
        <v>3149</v>
      </c>
    </row>
    <row r="25" spans="2:9">
      <c r="B25" t="s">
        <v>3150</v>
      </c>
      <c r="C25" s="823">
        <f>FS_worksheet!E193</f>
        <v>76858853</v>
      </c>
      <c r="D25" s="823">
        <f>FS_worksheet!G193</f>
        <v>85184908</v>
      </c>
      <c r="E25" t="b">
        <f>D25=+D38+D39</f>
        <v>1</v>
      </c>
    </row>
    <row r="28" spans="2:9">
      <c r="B28" t="s">
        <v>3151</v>
      </c>
    </row>
    <row r="30" spans="2:9">
      <c r="B30" s="822" t="s">
        <v>3152</v>
      </c>
      <c r="C30" s="822" t="s">
        <v>3153</v>
      </c>
      <c r="D30" s="822" t="s">
        <v>3154</v>
      </c>
      <c r="E30" s="822" t="s">
        <v>3155</v>
      </c>
      <c r="F30" s="822" t="s">
        <v>3156</v>
      </c>
      <c r="G30" s="822" t="s">
        <v>3157</v>
      </c>
      <c r="H30" s="822" t="s">
        <v>2673</v>
      </c>
    </row>
    <row r="31" spans="2:9">
      <c r="B31" s="822" t="s">
        <v>3267</v>
      </c>
      <c r="C31" s="823">
        <f>C11</f>
        <v>2254457228</v>
      </c>
      <c r="D31" s="823">
        <v>0</v>
      </c>
      <c r="E31" s="823">
        <v>0</v>
      </c>
      <c r="F31" s="823">
        <v>0</v>
      </c>
      <c r="G31" s="823">
        <f>G11</f>
        <v>2254457228</v>
      </c>
      <c r="H31" s="823">
        <f>C31+D31+E31-F31-G31</f>
        <v>0</v>
      </c>
    </row>
    <row r="32" spans="2:9">
      <c r="B32" s="822" t="s">
        <v>3269</v>
      </c>
      <c r="C32" s="823">
        <f t="shared" ref="C32:C33" si="8">C12</f>
        <v>950617551</v>
      </c>
      <c r="D32" s="823">
        <v>9458000</v>
      </c>
      <c r="E32" s="823">
        <v>0</v>
      </c>
      <c r="F32" s="823">
        <v>0</v>
      </c>
      <c r="G32" s="823">
        <f>G12</f>
        <v>960075551</v>
      </c>
      <c r="H32" s="823">
        <f t="shared" ref="H32:H33" si="9">C32+D32+E32-F32-G32</f>
        <v>0</v>
      </c>
    </row>
    <row r="33" spans="2:9">
      <c r="B33" s="822" t="s">
        <v>3148</v>
      </c>
      <c r="C33" s="823">
        <f t="shared" si="8"/>
        <v>125902779</v>
      </c>
      <c r="D33" s="823">
        <v>1084600</v>
      </c>
      <c r="E33" s="823">
        <v>0</v>
      </c>
      <c r="F33" s="823">
        <v>0</v>
      </c>
      <c r="G33" s="823">
        <f t="shared" ref="G33" si="10">G13</f>
        <v>126987379</v>
      </c>
      <c r="H33" s="823">
        <f t="shared" si="9"/>
        <v>0</v>
      </c>
    </row>
    <row r="34" spans="2:9" ht="17.25" thickBot="1">
      <c r="B34" s="822" t="s">
        <v>701</v>
      </c>
      <c r="C34" s="824">
        <f t="shared" ref="C34:H34" si="11">SUM(C31:C33)</f>
        <v>3330977558</v>
      </c>
      <c r="D34" s="824">
        <f t="shared" si="11"/>
        <v>10542600</v>
      </c>
      <c r="E34" s="824">
        <f t="shared" si="11"/>
        <v>0</v>
      </c>
      <c r="F34" s="824">
        <f t="shared" si="11"/>
        <v>0</v>
      </c>
      <c r="G34" s="824">
        <f t="shared" si="11"/>
        <v>3341520158</v>
      </c>
      <c r="H34" s="824">
        <f t="shared" si="11"/>
        <v>0</v>
      </c>
    </row>
    <row r="35" spans="2:9" ht="17.25" thickTop="1"/>
    <row r="37" spans="2:9">
      <c r="B37" s="822" t="s">
        <v>3158</v>
      </c>
      <c r="C37" s="822" t="s">
        <v>3153</v>
      </c>
      <c r="D37" s="822" t="s">
        <v>3154</v>
      </c>
      <c r="E37" s="822" t="s">
        <v>3156</v>
      </c>
      <c r="F37" s="822" t="s">
        <v>3157</v>
      </c>
      <c r="G37" s="822" t="s">
        <v>2673</v>
      </c>
    </row>
    <row r="38" spans="2:9">
      <c r="B38" s="822" t="s">
        <v>3269</v>
      </c>
      <c r="C38" s="823">
        <f t="shared" ref="C38:C39" si="12">C19</f>
        <v>264658339</v>
      </c>
      <c r="D38" s="823">
        <v>72082609</v>
      </c>
      <c r="E38" s="823">
        <v>0</v>
      </c>
      <c r="F38" s="823">
        <f t="shared" ref="F38:F39" si="13">G19</f>
        <v>336740948</v>
      </c>
      <c r="G38" s="823">
        <f t="shared" ref="G38:G39" si="14">C38+D38-E38-F38</f>
        <v>0</v>
      </c>
    </row>
    <row r="39" spans="2:9">
      <c r="B39" s="822" t="s">
        <v>3148</v>
      </c>
      <c r="C39" s="823">
        <f t="shared" si="12"/>
        <v>98404933</v>
      </c>
      <c r="D39" s="823">
        <v>13102299</v>
      </c>
      <c r="E39" s="823">
        <v>0</v>
      </c>
      <c r="F39" s="823">
        <f t="shared" si="13"/>
        <v>111507232</v>
      </c>
      <c r="G39" s="823">
        <f t="shared" si="14"/>
        <v>0</v>
      </c>
    </row>
    <row r="40" spans="2:9" ht="17.25" thickBot="1">
      <c r="B40" s="822" t="s">
        <v>701</v>
      </c>
      <c r="C40" s="824">
        <f>SUM(C38:C39)</f>
        <v>363063272</v>
      </c>
      <c r="D40" s="824">
        <f>SUM(D38:D39)</f>
        <v>85184908</v>
      </c>
      <c r="E40" s="824">
        <f>SUM(E38:E39)</f>
        <v>0</v>
      </c>
      <c r="F40" s="824">
        <f>SUM(F38:F39)</f>
        <v>448248180</v>
      </c>
      <c r="G40" s="824">
        <f>SUM(G38:G39)</f>
        <v>0</v>
      </c>
    </row>
    <row r="41" spans="2:9" ht="17.25" thickTop="1"/>
    <row r="43" spans="2:9">
      <c r="B43" s="822" t="s">
        <v>3159</v>
      </c>
      <c r="C43" s="822" t="s">
        <v>3160</v>
      </c>
      <c r="D43" s="822" t="s">
        <v>3161</v>
      </c>
      <c r="E43" s="822" t="s">
        <v>3162</v>
      </c>
      <c r="F43" s="822" t="s">
        <v>3163</v>
      </c>
      <c r="G43" s="822" t="s">
        <v>3164</v>
      </c>
      <c r="H43" s="822" t="s">
        <v>3165</v>
      </c>
    </row>
    <row r="44" spans="2:9">
      <c r="B44" s="822" t="s">
        <v>3267</v>
      </c>
      <c r="C44" s="823">
        <f>C31</f>
        <v>2254457228</v>
      </c>
      <c r="D44" s="823">
        <f>D31</f>
        <v>0</v>
      </c>
      <c r="E44" s="823">
        <v>0</v>
      </c>
      <c r="F44" s="823">
        <v>0</v>
      </c>
      <c r="G44" s="823">
        <v>0</v>
      </c>
      <c r="H44" s="823">
        <f>C44+D44-E44-F44+G44</f>
        <v>2254457228</v>
      </c>
      <c r="I44" s="821">
        <f>H44-G31</f>
        <v>0</v>
      </c>
    </row>
    <row r="45" spans="2:9">
      <c r="B45" s="822" t="s">
        <v>3269</v>
      </c>
      <c r="C45" s="823">
        <f>C32-C38</f>
        <v>685959212</v>
      </c>
      <c r="D45" s="823">
        <f>D32</f>
        <v>9458000</v>
      </c>
      <c r="E45" s="823">
        <f>F32-E38</f>
        <v>0</v>
      </c>
      <c r="F45" s="823">
        <f>D38</f>
        <v>72082609</v>
      </c>
      <c r="G45" s="823">
        <v>0</v>
      </c>
      <c r="H45" s="823">
        <f t="shared" ref="H45:H46" si="15">C45+D45-E45-F45+G45</f>
        <v>623334603</v>
      </c>
      <c r="I45" s="821">
        <f>H45-G32+F38</f>
        <v>0</v>
      </c>
    </row>
    <row r="46" spans="2:9">
      <c r="B46" s="822" t="s">
        <v>3148</v>
      </c>
      <c r="C46" s="823">
        <f>C33-C39</f>
        <v>27497846</v>
      </c>
      <c r="D46" s="823">
        <f>D33</f>
        <v>1084600</v>
      </c>
      <c r="E46" s="823"/>
      <c r="F46" s="823">
        <f>D39</f>
        <v>13102299</v>
      </c>
      <c r="G46" s="823">
        <v>0</v>
      </c>
      <c r="H46" s="823">
        <f t="shared" si="15"/>
        <v>15480147</v>
      </c>
      <c r="I46" s="821">
        <f t="shared" ref="I46" si="16">H46-G33+F39</f>
        <v>0</v>
      </c>
    </row>
    <row r="47" spans="2:9" ht="17.25" thickBot="1">
      <c r="B47" s="822" t="s">
        <v>701</v>
      </c>
      <c r="C47" s="824">
        <f>SUM(C44:C46)</f>
        <v>2967914286</v>
      </c>
      <c r="D47" s="824">
        <f t="shared" ref="D47:H47" si="17">SUM(D44:D46)</f>
        <v>10542600</v>
      </c>
      <c r="E47" s="824">
        <f t="shared" si="17"/>
        <v>0</v>
      </c>
      <c r="F47" s="824">
        <f t="shared" si="17"/>
        <v>85184908</v>
      </c>
      <c r="G47" s="824">
        <f t="shared" si="17"/>
        <v>0</v>
      </c>
      <c r="H47" s="824">
        <f t="shared" si="17"/>
        <v>2893271978</v>
      </c>
      <c r="I47" s="821"/>
    </row>
    <row r="48" spans="2:9" ht="17.25" thickTop="1"/>
    <row r="49" spans="1:3" ht="17.25" thickBot="1"/>
    <row r="50" spans="1:3" ht="17.25" thickBot="1">
      <c r="B50" s="1279" t="s">
        <v>3166</v>
      </c>
      <c r="C50" s="1280"/>
    </row>
    <row r="51" spans="1:3">
      <c r="B51" s="825"/>
      <c r="C51" s="826" t="s">
        <v>3167</v>
      </c>
    </row>
    <row r="52" spans="1:3">
      <c r="B52" s="825"/>
      <c r="C52" s="827" t="s">
        <v>3168</v>
      </c>
    </row>
    <row r="53" spans="1:3" ht="17.25" thickBot="1">
      <c r="B53" s="828"/>
      <c r="C53" s="829" t="s">
        <v>3169</v>
      </c>
    </row>
    <row r="55" spans="1:3">
      <c r="A55" t="s">
        <v>3170</v>
      </c>
    </row>
    <row r="56" spans="1:3">
      <c r="B56" t="s">
        <v>3171</v>
      </c>
    </row>
  </sheetData>
  <mergeCells count="10">
    <mergeCell ref="I2:I3"/>
    <mergeCell ref="C9:D9"/>
    <mergeCell ref="E9:F9"/>
    <mergeCell ref="C17:D17"/>
    <mergeCell ref="E17:F17"/>
    <mergeCell ref="B50:C50"/>
    <mergeCell ref="E1:F1"/>
    <mergeCell ref="G1:H1"/>
    <mergeCell ref="E2:F3"/>
    <mergeCell ref="G2:H3"/>
  </mergeCells>
  <phoneticPr fontId="3" type="noConversion"/>
  <pageMargins left="0.7" right="0.7" top="0.75" bottom="0.75" header="0.3" footer="0.3"/>
  <legacyDrawing r:id="rId1"/>
  <oleObjects>
    <oleObject progId="Paint.Picture" shapeId="3073" r:id="rId2"/>
    <oleObject progId="Paint.Picture" shapeId="3074" r:id="rId3"/>
    <oleObject progId="Paint.Picture" shapeId="3075" r:id="rId4"/>
    <oleObject progId="Paint.Picture" shapeId="3076" r:id="rId5"/>
    <oleObject progId="Paint.Picture" shapeId="3077" r:id="rId6"/>
    <oleObject progId="Paint.Picture" shapeId="3078" r:id="rId7"/>
    <oleObject progId="Paint.Picture" shapeId="3079" r:id="rId8"/>
    <oleObject progId="Paint.Picture" shapeId="3080" r:id="rId9"/>
    <oleObject progId="Paint.Picture" shapeId="3081" r:id="rId10"/>
    <oleObject progId="Paint.Picture" shapeId="3082" r:id="rId11"/>
    <oleObject progId="Paint.Picture" shapeId="3083" r:id="rId12"/>
    <oleObject progId="Paint.Picture" shapeId="3084" r:id="rId13"/>
    <oleObject progId="Paint.Picture" shapeId="3085" r:id="rId14"/>
  </oleObjects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F0"/>
  </sheetPr>
  <dimension ref="A1:R133"/>
  <sheetViews>
    <sheetView topLeftCell="A124" workbookViewId="0">
      <selection activeCell="C70" sqref="C70"/>
    </sheetView>
  </sheetViews>
  <sheetFormatPr defaultRowHeight="16.5"/>
  <cols>
    <col min="1" max="1" width="11.375" bestFit="1" customWidth="1"/>
    <col min="3" max="3" width="37" customWidth="1"/>
    <col min="4" max="4" width="9.75" bestFit="1" customWidth="1"/>
    <col min="6" max="6" width="10.875" bestFit="1" customWidth="1"/>
    <col min="7" max="7" width="9.75" bestFit="1" customWidth="1"/>
    <col min="8" max="8" width="13.875" bestFit="1" customWidth="1"/>
    <col min="9" max="9" width="12.25" bestFit="1" customWidth="1"/>
    <col min="10" max="10" width="13.875" bestFit="1" customWidth="1"/>
    <col min="11" max="11" width="12.25" bestFit="1" customWidth="1"/>
    <col min="12" max="12" width="9.75" bestFit="1" customWidth="1"/>
    <col min="13" max="14" width="13" bestFit="1" customWidth="1"/>
    <col min="15" max="15" width="10.875" bestFit="1" customWidth="1"/>
    <col min="17" max="17" width="11.875" style="823" bestFit="1" customWidth="1"/>
    <col min="18" max="18" width="9" style="823"/>
  </cols>
  <sheetData>
    <row r="1" spans="1:18">
      <c r="A1" s="371" t="str">
        <f>기본사항!$C$2</f>
        <v>(재)한국여성재단</v>
      </c>
      <c r="B1" s="855"/>
      <c r="C1" s="809"/>
      <c r="D1" s="809"/>
      <c r="E1" s="809"/>
      <c r="F1" s="809"/>
      <c r="G1" s="1253" t="s">
        <v>112</v>
      </c>
      <c r="H1" s="1254"/>
      <c r="I1" s="1281" t="s">
        <v>0</v>
      </c>
      <c r="J1" s="1281"/>
      <c r="K1" s="460" t="s">
        <v>1</v>
      </c>
    </row>
    <row r="2" spans="1:18">
      <c r="A2" s="808" t="s">
        <v>3172</v>
      </c>
      <c r="B2" s="855"/>
      <c r="C2" s="809"/>
      <c r="D2" s="809"/>
      <c r="E2" s="809"/>
      <c r="F2" s="809"/>
      <c r="G2" s="1255" t="str">
        <f>[26]TableofContents!$B$15</f>
        <v>G</v>
      </c>
      <c r="H2" s="1256"/>
      <c r="I2" s="1198">
        <f>기본사항!$C$14</f>
        <v>40563</v>
      </c>
      <c r="J2" s="1198"/>
      <c r="K2" s="1276" t="str">
        <f>기본사항!$C$17</f>
        <v>Kbj</v>
      </c>
    </row>
    <row r="3" spans="1:18">
      <c r="A3" s="375" t="str">
        <f>기본사항!$C$9</f>
        <v>A : 12-31-2011</v>
      </c>
      <c r="B3" s="856"/>
      <c r="C3" s="809"/>
      <c r="D3" s="809"/>
      <c r="E3" s="809"/>
      <c r="F3" s="809"/>
      <c r="G3" s="1257"/>
      <c r="H3" s="1258"/>
      <c r="I3" s="1198"/>
      <c r="J3" s="1198"/>
      <c r="K3" s="1264"/>
    </row>
    <row r="4" spans="1:18" ht="17.25" thickBot="1">
      <c r="A4" s="857"/>
      <c r="B4" s="857"/>
      <c r="C4" s="858"/>
      <c r="D4" s="858"/>
      <c r="E4" s="858"/>
      <c r="F4" s="858"/>
      <c r="G4" s="859"/>
      <c r="H4" s="859"/>
      <c r="I4" s="860"/>
      <c r="J4" s="860"/>
      <c r="K4" s="861"/>
    </row>
    <row r="5" spans="1:18">
      <c r="A5" s="920"/>
      <c r="B5" s="921" t="s">
        <v>3495</v>
      </c>
      <c r="C5" s="921" t="s">
        <v>3496</v>
      </c>
      <c r="D5" s="922"/>
    </row>
    <row r="6" spans="1:18">
      <c r="A6" s="923" t="s">
        <v>3494</v>
      </c>
      <c r="B6" s="820">
        <v>15</v>
      </c>
      <c r="C6" s="820">
        <v>6.6000000000000003E-2</v>
      </c>
      <c r="D6" s="924">
        <f>1/15</f>
        <v>6.6666666666666666E-2</v>
      </c>
    </row>
    <row r="7" spans="1:18" ht="17.25" thickBot="1">
      <c r="A7" s="925" t="s">
        <v>3144</v>
      </c>
      <c r="B7" s="926">
        <v>4</v>
      </c>
      <c r="C7" s="926">
        <f>1/B7</f>
        <v>0.25</v>
      </c>
      <c r="D7" s="927"/>
    </row>
    <row r="8" spans="1:18">
      <c r="M8" s="846">
        <v>40908</v>
      </c>
    </row>
    <row r="9" spans="1:18">
      <c r="A9" s="848" t="s">
        <v>3305</v>
      </c>
      <c r="B9" s="848" t="s">
        <v>3315</v>
      </c>
      <c r="C9" s="848" t="s">
        <v>3306</v>
      </c>
      <c r="D9" s="848" t="s">
        <v>3307</v>
      </c>
      <c r="E9" s="848" t="s">
        <v>3308</v>
      </c>
      <c r="F9" s="848" t="s">
        <v>3309</v>
      </c>
      <c r="G9" s="848" t="s">
        <v>12</v>
      </c>
      <c r="H9" s="848" t="s">
        <v>3310</v>
      </c>
      <c r="I9" s="848" t="s">
        <v>3311</v>
      </c>
      <c r="J9" s="848" t="s">
        <v>3312</v>
      </c>
      <c r="K9" s="848" t="s">
        <v>3313</v>
      </c>
      <c r="L9" s="848" t="s">
        <v>3314</v>
      </c>
      <c r="M9" s="864" t="s">
        <v>3497</v>
      </c>
      <c r="N9" s="864" t="s">
        <v>3498</v>
      </c>
      <c r="O9" s="864" t="s">
        <v>3499</v>
      </c>
    </row>
    <row r="10" spans="1:18">
      <c r="A10" s="849" t="s">
        <v>3269</v>
      </c>
      <c r="B10" s="849" t="s">
        <v>3316</v>
      </c>
      <c r="C10" s="849" t="s">
        <v>3269</v>
      </c>
      <c r="D10" s="850">
        <v>900996551</v>
      </c>
      <c r="E10" s="850">
        <v>0</v>
      </c>
      <c r="F10" s="850">
        <v>0</v>
      </c>
      <c r="G10" s="850">
        <v>900996551</v>
      </c>
      <c r="H10" s="850">
        <v>262974300</v>
      </c>
      <c r="I10" s="850">
        <v>59465772</v>
      </c>
      <c r="J10" s="850">
        <v>0</v>
      </c>
      <c r="K10" s="850">
        <v>322440072</v>
      </c>
      <c r="L10" s="850">
        <v>578556479</v>
      </c>
      <c r="M10">
        <f>IF(DATEDIF(B10,$M$8,"m")+1&gt;12,12,DATEDIF(B10,$M$8,"m")+1)</f>
        <v>12</v>
      </c>
      <c r="N10" s="823">
        <f>G10*$C$6/12*M10</f>
        <v>59465772.366000004</v>
      </c>
      <c r="O10" s="821">
        <f>N10-I10</f>
        <v>0.36600000411272049</v>
      </c>
      <c r="Q10" s="823">
        <v>59465772</v>
      </c>
      <c r="R10" s="823">
        <f>N10-Q10</f>
        <v>0.36600000411272049</v>
      </c>
    </row>
    <row r="11" spans="1:18">
      <c r="A11" s="849" t="s">
        <v>3269</v>
      </c>
      <c r="B11" s="849" t="s">
        <v>3318</v>
      </c>
      <c r="C11" s="849" t="s">
        <v>3317</v>
      </c>
      <c r="D11" s="850">
        <v>7282000</v>
      </c>
      <c r="E11" s="850">
        <v>0</v>
      </c>
      <c r="F11" s="850">
        <v>0</v>
      </c>
      <c r="G11" s="850">
        <v>7282000</v>
      </c>
      <c r="H11" s="850">
        <v>364100</v>
      </c>
      <c r="I11" s="850">
        <v>1820500</v>
      </c>
      <c r="J11" s="850">
        <v>0</v>
      </c>
      <c r="K11" s="850">
        <v>2184600</v>
      </c>
      <c r="L11" s="850">
        <v>5097400</v>
      </c>
      <c r="M11">
        <f t="shared" ref="M11:M18" si="0">IF(DATEDIF(B11,$M$8,"m")+1&gt;12,12,DATEDIF(B11,$M$8,"m")+1)</f>
        <v>12</v>
      </c>
      <c r="N11" s="823">
        <f t="shared" ref="N11:N18" si="1">G11*$C$6/12*M11</f>
        <v>480612</v>
      </c>
      <c r="O11" s="821">
        <f t="shared" ref="O11:O18" si="2">N11-I11</f>
        <v>-1339888</v>
      </c>
      <c r="P11" t="s">
        <v>4799</v>
      </c>
      <c r="Q11" s="823">
        <v>480612</v>
      </c>
      <c r="R11" s="823">
        <f t="shared" ref="R11:R18" si="3">N11-Q11</f>
        <v>0</v>
      </c>
    </row>
    <row r="12" spans="1:18">
      <c r="A12" s="849" t="s">
        <v>3269</v>
      </c>
      <c r="B12" s="849" t="s">
        <v>3320</v>
      </c>
      <c r="C12" s="849" t="s">
        <v>3319</v>
      </c>
      <c r="D12" s="850">
        <v>39050000</v>
      </c>
      <c r="E12" s="850">
        <v>0</v>
      </c>
      <c r="F12" s="850">
        <v>0</v>
      </c>
      <c r="G12" s="850">
        <v>39050000</v>
      </c>
      <c r="H12" s="850">
        <v>1301667</v>
      </c>
      <c r="I12" s="850">
        <v>9762500</v>
      </c>
      <c r="J12" s="850">
        <v>0</v>
      </c>
      <c r="K12" s="850">
        <v>11064167</v>
      </c>
      <c r="L12" s="850">
        <v>27985833</v>
      </c>
      <c r="M12">
        <f t="shared" si="0"/>
        <v>12</v>
      </c>
      <c r="N12" s="823">
        <f t="shared" si="1"/>
        <v>2577300</v>
      </c>
      <c r="O12" s="821">
        <f t="shared" si="2"/>
        <v>-7185200</v>
      </c>
      <c r="P12" t="s">
        <v>4799</v>
      </c>
      <c r="Q12" s="823">
        <v>2577300</v>
      </c>
      <c r="R12" s="823">
        <f t="shared" si="3"/>
        <v>0</v>
      </c>
    </row>
    <row r="13" spans="1:18">
      <c r="A13" s="849" t="s">
        <v>3269</v>
      </c>
      <c r="B13" s="849" t="s">
        <v>3322</v>
      </c>
      <c r="C13" s="849" t="s">
        <v>3321</v>
      </c>
      <c r="D13" s="850">
        <v>3289000</v>
      </c>
      <c r="E13" s="850">
        <v>0</v>
      </c>
      <c r="F13" s="850">
        <v>0</v>
      </c>
      <c r="G13" s="850">
        <v>3289000</v>
      </c>
      <c r="H13" s="850">
        <v>18272</v>
      </c>
      <c r="I13" s="850">
        <v>822250</v>
      </c>
      <c r="J13" s="850">
        <v>0</v>
      </c>
      <c r="K13" s="850">
        <v>840522</v>
      </c>
      <c r="L13" s="850">
        <v>2448478</v>
      </c>
      <c r="M13">
        <f t="shared" si="0"/>
        <v>12</v>
      </c>
      <c r="N13" s="823">
        <f t="shared" si="1"/>
        <v>217074</v>
      </c>
      <c r="O13" s="821">
        <f t="shared" si="2"/>
        <v>-605176</v>
      </c>
      <c r="P13" t="s">
        <v>4799</v>
      </c>
      <c r="Q13" s="823">
        <v>217074</v>
      </c>
      <c r="R13" s="823">
        <f t="shared" si="3"/>
        <v>0</v>
      </c>
    </row>
    <row r="14" spans="1:18">
      <c r="A14" s="849" t="s">
        <v>3269</v>
      </c>
      <c r="B14" s="849" t="s">
        <v>3324</v>
      </c>
      <c r="C14" s="849" t="s">
        <v>3323</v>
      </c>
      <c r="D14" s="850">
        <v>0</v>
      </c>
      <c r="E14" s="850">
        <v>3000000</v>
      </c>
      <c r="F14" s="850">
        <v>0</v>
      </c>
      <c r="G14" s="850">
        <v>3000000</v>
      </c>
      <c r="H14" s="850">
        <v>0</v>
      </c>
      <c r="I14" s="850">
        <v>115500</v>
      </c>
      <c r="J14" s="850">
        <v>0</v>
      </c>
      <c r="K14" s="850">
        <v>115500</v>
      </c>
      <c r="L14" s="850">
        <v>2884500</v>
      </c>
      <c r="M14">
        <f t="shared" si="0"/>
        <v>7</v>
      </c>
      <c r="N14" s="823">
        <f t="shared" si="1"/>
        <v>115500</v>
      </c>
      <c r="O14" s="821">
        <f t="shared" si="2"/>
        <v>0</v>
      </c>
      <c r="Q14" s="823">
        <v>115500</v>
      </c>
      <c r="R14" s="823">
        <f t="shared" si="3"/>
        <v>0</v>
      </c>
    </row>
    <row r="15" spans="1:18">
      <c r="A15" s="865" t="s">
        <v>3269</v>
      </c>
      <c r="B15" s="865" t="s">
        <v>3326</v>
      </c>
      <c r="C15" s="865" t="s">
        <v>3325</v>
      </c>
      <c r="D15" s="866">
        <v>0</v>
      </c>
      <c r="E15" s="866">
        <v>1500000</v>
      </c>
      <c r="F15" s="866">
        <v>0</v>
      </c>
      <c r="G15" s="866">
        <v>1500000</v>
      </c>
      <c r="H15" s="866">
        <v>0</v>
      </c>
      <c r="I15" s="866">
        <v>49500</v>
      </c>
      <c r="J15" s="866">
        <v>0</v>
      </c>
      <c r="K15" s="866">
        <v>49500</v>
      </c>
      <c r="L15" s="866">
        <v>1450500</v>
      </c>
      <c r="M15">
        <f t="shared" si="0"/>
        <v>6</v>
      </c>
      <c r="N15" s="823">
        <f t="shared" si="1"/>
        <v>49500</v>
      </c>
      <c r="O15" s="821">
        <f t="shared" si="2"/>
        <v>0</v>
      </c>
      <c r="Q15" s="823">
        <v>49500</v>
      </c>
      <c r="R15" s="823">
        <f t="shared" si="3"/>
        <v>0</v>
      </c>
    </row>
    <row r="16" spans="1:18">
      <c r="A16" s="849" t="s">
        <v>3269</v>
      </c>
      <c r="B16" s="849" t="s">
        <v>3328</v>
      </c>
      <c r="C16" s="849" t="s">
        <v>3327</v>
      </c>
      <c r="D16" s="850">
        <v>0</v>
      </c>
      <c r="E16" s="850">
        <v>2078000</v>
      </c>
      <c r="F16" s="850">
        <v>0</v>
      </c>
      <c r="G16" s="850">
        <v>2078000</v>
      </c>
      <c r="H16" s="850">
        <v>0</v>
      </c>
      <c r="I16" s="850">
        <v>11429</v>
      </c>
      <c r="J16" s="850">
        <v>0</v>
      </c>
      <c r="K16" s="850">
        <v>11429</v>
      </c>
      <c r="L16" s="850">
        <v>2066571</v>
      </c>
      <c r="M16">
        <f t="shared" si="0"/>
        <v>1</v>
      </c>
      <c r="N16" s="823">
        <f t="shared" si="1"/>
        <v>11429</v>
      </c>
      <c r="O16" s="821">
        <f t="shared" si="2"/>
        <v>0</v>
      </c>
      <c r="Q16" s="823">
        <v>11429</v>
      </c>
      <c r="R16" s="823">
        <f t="shared" si="3"/>
        <v>0</v>
      </c>
    </row>
    <row r="17" spans="1:18">
      <c r="A17" s="849" t="s">
        <v>3269</v>
      </c>
      <c r="B17" s="849" t="s">
        <v>3330</v>
      </c>
      <c r="C17" s="849" t="s">
        <v>3329</v>
      </c>
      <c r="D17" s="850">
        <v>0</v>
      </c>
      <c r="E17" s="850">
        <v>1730000</v>
      </c>
      <c r="F17" s="850">
        <v>0</v>
      </c>
      <c r="G17" s="850">
        <v>1730000</v>
      </c>
      <c r="H17" s="850">
        <v>0</v>
      </c>
      <c r="I17" s="850">
        <v>28833</v>
      </c>
      <c r="J17" s="850">
        <v>0</v>
      </c>
      <c r="K17" s="850">
        <v>28833</v>
      </c>
      <c r="L17" s="850">
        <v>1701167</v>
      </c>
      <c r="M17">
        <f t="shared" si="0"/>
        <v>1</v>
      </c>
      <c r="N17" s="823">
        <f t="shared" si="1"/>
        <v>9515</v>
      </c>
      <c r="O17" s="821">
        <f t="shared" si="2"/>
        <v>-19318</v>
      </c>
      <c r="P17">
        <v>0.2</v>
      </c>
      <c r="Q17" s="823">
        <v>28833</v>
      </c>
      <c r="R17" s="823">
        <f t="shared" si="3"/>
        <v>-19318</v>
      </c>
    </row>
    <row r="18" spans="1:18">
      <c r="A18" s="849" t="s">
        <v>3269</v>
      </c>
      <c r="B18" s="849" t="s">
        <v>3332</v>
      </c>
      <c r="C18" s="849" t="s">
        <v>3331</v>
      </c>
      <c r="D18" s="850">
        <v>0</v>
      </c>
      <c r="E18" s="850">
        <v>1150000</v>
      </c>
      <c r="F18" s="850">
        <v>0</v>
      </c>
      <c r="G18" s="850">
        <v>1150000</v>
      </c>
      <c r="H18" s="850">
        <v>0</v>
      </c>
      <c r="I18" s="850">
        <v>6325</v>
      </c>
      <c r="J18" s="850">
        <v>0</v>
      </c>
      <c r="K18" s="850">
        <v>6325</v>
      </c>
      <c r="L18" s="850">
        <v>1143675</v>
      </c>
      <c r="M18">
        <f t="shared" si="0"/>
        <v>1</v>
      </c>
      <c r="N18" s="823">
        <f t="shared" si="1"/>
        <v>6325</v>
      </c>
      <c r="O18" s="821">
        <f t="shared" si="2"/>
        <v>0</v>
      </c>
      <c r="Q18" s="823">
        <v>6325</v>
      </c>
      <c r="R18" s="823">
        <f t="shared" si="3"/>
        <v>0</v>
      </c>
    </row>
    <row r="19" spans="1:18">
      <c r="A19" s="852" t="s">
        <v>3333</v>
      </c>
      <c r="B19" s="852"/>
      <c r="C19" s="852"/>
      <c r="D19" s="853">
        <v>950617551</v>
      </c>
      <c r="E19" s="853">
        <v>9458000</v>
      </c>
      <c r="F19" s="853">
        <v>0</v>
      </c>
      <c r="G19" s="853">
        <v>960075551</v>
      </c>
      <c r="H19" s="853">
        <v>264658339</v>
      </c>
      <c r="I19" s="853">
        <v>72082609</v>
      </c>
      <c r="J19" s="853">
        <v>0</v>
      </c>
      <c r="K19" s="853">
        <v>336740948</v>
      </c>
      <c r="L19" s="853">
        <v>623334603</v>
      </c>
      <c r="O19" s="821">
        <f>SUM(O10:O18)</f>
        <v>-9149581.6339999959</v>
      </c>
      <c r="Q19" s="823">
        <v>62952345</v>
      </c>
    </row>
    <row r="20" spans="1:18">
      <c r="L20" s="823">
        <f>L19-FS_worksheet!G46-FS_worksheet!G47</f>
        <v>0</v>
      </c>
      <c r="N20" s="863"/>
    </row>
    <row r="22" spans="1:18">
      <c r="A22" s="848" t="s">
        <v>3305</v>
      </c>
      <c r="B22" s="848" t="s">
        <v>3315</v>
      </c>
      <c r="C22" s="848" t="s">
        <v>3306</v>
      </c>
      <c r="D22" s="848" t="s">
        <v>3307</v>
      </c>
      <c r="E22" s="848" t="s">
        <v>3308</v>
      </c>
      <c r="F22" s="848" t="s">
        <v>3309</v>
      </c>
      <c r="G22" s="848" t="s">
        <v>12</v>
      </c>
      <c r="H22" s="848" t="s">
        <v>3310</v>
      </c>
      <c r="I22" s="848" t="s">
        <v>3311</v>
      </c>
      <c r="J22" s="848" t="s">
        <v>3312</v>
      </c>
      <c r="K22" s="848" t="s">
        <v>3313</v>
      </c>
      <c r="L22" s="848" t="s">
        <v>3314</v>
      </c>
      <c r="M22" s="864" t="s">
        <v>3493</v>
      </c>
      <c r="N22" s="864" t="s">
        <v>3303</v>
      </c>
      <c r="O22" s="864" t="s">
        <v>3304</v>
      </c>
    </row>
    <row r="23" spans="1:18">
      <c r="A23" s="849" t="s">
        <v>3148</v>
      </c>
      <c r="B23" s="851" t="s">
        <v>3335</v>
      </c>
      <c r="C23" s="849" t="s">
        <v>3334</v>
      </c>
      <c r="D23" s="850">
        <v>119190</v>
      </c>
      <c r="E23" s="850">
        <v>0</v>
      </c>
      <c r="F23" s="850">
        <v>119190</v>
      </c>
      <c r="G23" s="850">
        <v>0</v>
      </c>
      <c r="H23" s="850">
        <v>119190</v>
      </c>
      <c r="I23" s="850">
        <v>0</v>
      </c>
      <c r="J23" s="850">
        <v>119190</v>
      </c>
      <c r="K23" s="850">
        <v>0</v>
      </c>
      <c r="L23" s="850">
        <v>0</v>
      </c>
      <c r="M23">
        <f>IF(DATEDIF(B23,$M$8,"m")+1&gt;12,12,DATEDIF(B23,$M$8,"m")+1)</f>
        <v>12</v>
      </c>
      <c r="N23" s="823">
        <f>G23*$C$7/12*M23</f>
        <v>0</v>
      </c>
      <c r="O23" s="821">
        <f>N23-I23</f>
        <v>0</v>
      </c>
      <c r="P23">
        <v>0</v>
      </c>
      <c r="Q23" s="823">
        <f>N23-P23</f>
        <v>0</v>
      </c>
    </row>
    <row r="24" spans="1:18">
      <c r="A24" s="849" t="s">
        <v>3148</v>
      </c>
      <c r="B24" s="851" t="s">
        <v>3337</v>
      </c>
      <c r="C24" s="849" t="s">
        <v>3336</v>
      </c>
      <c r="D24" s="850">
        <v>475000</v>
      </c>
      <c r="E24" s="850">
        <v>0</v>
      </c>
      <c r="F24" s="850">
        <v>475000</v>
      </c>
      <c r="G24" s="850">
        <v>0</v>
      </c>
      <c r="H24" s="850">
        <v>475000</v>
      </c>
      <c r="I24" s="850">
        <v>0</v>
      </c>
      <c r="J24" s="850">
        <v>475000</v>
      </c>
      <c r="K24" s="850">
        <v>0</v>
      </c>
      <c r="L24" s="850">
        <v>0</v>
      </c>
      <c r="M24">
        <f t="shared" ref="M24:M87" si="4">IF(DATEDIF(B24,$M$8,"m")+1&gt;12,12,DATEDIF(B24,$M$8,"m")+1)</f>
        <v>12</v>
      </c>
      <c r="N24" s="823">
        <f t="shared" ref="N24:N82" si="5">G24*$C$7/12*M24</f>
        <v>0</v>
      </c>
      <c r="O24" s="821">
        <f t="shared" ref="O24:O87" si="6">N24-I24</f>
        <v>0</v>
      </c>
      <c r="P24">
        <v>0</v>
      </c>
      <c r="Q24" s="823">
        <f t="shared" ref="Q24:Q87" si="7">N24-P24</f>
        <v>0</v>
      </c>
    </row>
    <row r="25" spans="1:18">
      <c r="A25" s="849" t="s">
        <v>3148</v>
      </c>
      <c r="B25" s="851" t="s">
        <v>3337</v>
      </c>
      <c r="C25" s="849" t="s">
        <v>3338</v>
      </c>
      <c r="D25" s="850">
        <v>240000</v>
      </c>
      <c r="E25" s="850">
        <v>0</v>
      </c>
      <c r="F25" s="850">
        <v>240000</v>
      </c>
      <c r="G25" s="850">
        <v>0</v>
      </c>
      <c r="H25" s="850">
        <v>240000</v>
      </c>
      <c r="I25" s="850">
        <v>0</v>
      </c>
      <c r="J25" s="850">
        <v>240000</v>
      </c>
      <c r="K25" s="850">
        <v>0</v>
      </c>
      <c r="L25" s="850">
        <v>0</v>
      </c>
      <c r="M25">
        <f t="shared" si="4"/>
        <v>12</v>
      </c>
      <c r="N25" s="823">
        <f t="shared" si="5"/>
        <v>0</v>
      </c>
      <c r="O25" s="821">
        <f t="shared" si="6"/>
        <v>0</v>
      </c>
      <c r="P25">
        <v>0</v>
      </c>
      <c r="Q25" s="823">
        <f t="shared" si="7"/>
        <v>0</v>
      </c>
    </row>
    <row r="26" spans="1:18">
      <c r="A26" s="849" t="s">
        <v>3148</v>
      </c>
      <c r="B26" s="851" t="s">
        <v>3340</v>
      </c>
      <c r="C26" s="849" t="s">
        <v>3339</v>
      </c>
      <c r="D26" s="850">
        <v>4046900</v>
      </c>
      <c r="E26" s="850">
        <v>0</v>
      </c>
      <c r="F26" s="850">
        <v>4046900</v>
      </c>
      <c r="G26" s="850">
        <v>0</v>
      </c>
      <c r="H26" s="850">
        <v>4046900</v>
      </c>
      <c r="I26" s="850">
        <v>0</v>
      </c>
      <c r="J26" s="850">
        <v>4046900</v>
      </c>
      <c r="K26" s="850">
        <v>0</v>
      </c>
      <c r="L26" s="850">
        <v>0</v>
      </c>
      <c r="M26">
        <f t="shared" si="4"/>
        <v>12</v>
      </c>
      <c r="N26" s="823">
        <f t="shared" si="5"/>
        <v>0</v>
      </c>
      <c r="O26" s="821">
        <f t="shared" si="6"/>
        <v>0</v>
      </c>
      <c r="P26">
        <v>0</v>
      </c>
      <c r="Q26" s="823">
        <f t="shared" si="7"/>
        <v>0</v>
      </c>
    </row>
    <row r="27" spans="1:18">
      <c r="A27" s="849" t="s">
        <v>3148</v>
      </c>
      <c r="B27" s="851" t="s">
        <v>3340</v>
      </c>
      <c r="C27" s="849" t="s">
        <v>3341</v>
      </c>
      <c r="D27" s="850">
        <v>968000</v>
      </c>
      <c r="E27" s="850">
        <v>0</v>
      </c>
      <c r="F27" s="850">
        <v>968000</v>
      </c>
      <c r="G27" s="850">
        <v>0</v>
      </c>
      <c r="H27" s="850">
        <v>968000</v>
      </c>
      <c r="I27" s="850">
        <v>0</v>
      </c>
      <c r="J27" s="850">
        <v>968000</v>
      </c>
      <c r="K27" s="850">
        <v>0</v>
      </c>
      <c r="L27" s="850">
        <v>0</v>
      </c>
      <c r="M27">
        <f t="shared" si="4"/>
        <v>12</v>
      </c>
      <c r="N27" s="823">
        <f t="shared" si="5"/>
        <v>0</v>
      </c>
      <c r="O27" s="821">
        <f t="shared" si="6"/>
        <v>0</v>
      </c>
      <c r="P27">
        <v>0</v>
      </c>
      <c r="Q27" s="823">
        <f t="shared" si="7"/>
        <v>0</v>
      </c>
    </row>
    <row r="28" spans="1:18">
      <c r="A28" s="849" t="s">
        <v>3148</v>
      </c>
      <c r="B28" s="851" t="s">
        <v>3343</v>
      </c>
      <c r="C28" s="849" t="s">
        <v>3342</v>
      </c>
      <c r="D28" s="850">
        <v>182440</v>
      </c>
      <c r="E28" s="850">
        <v>0</v>
      </c>
      <c r="F28" s="850">
        <v>182440</v>
      </c>
      <c r="G28" s="850">
        <v>0</v>
      </c>
      <c r="H28" s="850">
        <v>182440</v>
      </c>
      <c r="I28" s="850">
        <v>0</v>
      </c>
      <c r="J28" s="850">
        <v>182440</v>
      </c>
      <c r="K28" s="850">
        <v>0</v>
      </c>
      <c r="L28" s="850">
        <v>0</v>
      </c>
      <c r="M28">
        <f t="shared" si="4"/>
        <v>12</v>
      </c>
      <c r="N28" s="823">
        <f t="shared" si="5"/>
        <v>0</v>
      </c>
      <c r="O28" s="821">
        <f t="shared" si="6"/>
        <v>0</v>
      </c>
      <c r="P28">
        <v>0</v>
      </c>
      <c r="Q28" s="823">
        <f t="shared" si="7"/>
        <v>0</v>
      </c>
    </row>
    <row r="29" spans="1:18">
      <c r="A29" s="849" t="s">
        <v>3148</v>
      </c>
      <c r="B29" s="851" t="s">
        <v>3345</v>
      </c>
      <c r="C29" s="849" t="s">
        <v>3344</v>
      </c>
      <c r="D29" s="850">
        <v>308000</v>
      </c>
      <c r="E29" s="850">
        <v>0</v>
      </c>
      <c r="F29" s="850">
        <v>308000</v>
      </c>
      <c r="G29" s="850">
        <v>0</v>
      </c>
      <c r="H29" s="850">
        <v>308000</v>
      </c>
      <c r="I29" s="850">
        <v>0</v>
      </c>
      <c r="J29" s="850">
        <v>308000</v>
      </c>
      <c r="K29" s="850">
        <v>0</v>
      </c>
      <c r="L29" s="850">
        <v>0</v>
      </c>
      <c r="M29">
        <f t="shared" si="4"/>
        <v>12</v>
      </c>
      <c r="N29" s="823">
        <f t="shared" si="5"/>
        <v>0</v>
      </c>
      <c r="O29" s="821">
        <f t="shared" si="6"/>
        <v>0</v>
      </c>
      <c r="P29">
        <v>0</v>
      </c>
      <c r="Q29" s="823">
        <f t="shared" si="7"/>
        <v>0</v>
      </c>
    </row>
    <row r="30" spans="1:18">
      <c r="A30" s="849" t="s">
        <v>3148</v>
      </c>
      <c r="B30" s="851" t="s">
        <v>3345</v>
      </c>
      <c r="C30" s="849" t="s">
        <v>3346</v>
      </c>
      <c r="D30" s="850">
        <v>46200</v>
      </c>
      <c r="E30" s="850">
        <v>0</v>
      </c>
      <c r="F30" s="850">
        <v>46200</v>
      </c>
      <c r="G30" s="850">
        <v>0</v>
      </c>
      <c r="H30" s="850">
        <v>46200</v>
      </c>
      <c r="I30" s="850">
        <v>0</v>
      </c>
      <c r="J30" s="850">
        <v>46200</v>
      </c>
      <c r="K30" s="850">
        <v>0</v>
      </c>
      <c r="L30" s="850">
        <v>0</v>
      </c>
      <c r="M30">
        <f t="shared" si="4"/>
        <v>12</v>
      </c>
      <c r="N30" s="823">
        <f t="shared" si="5"/>
        <v>0</v>
      </c>
      <c r="O30" s="821">
        <f t="shared" si="6"/>
        <v>0</v>
      </c>
      <c r="P30">
        <v>0</v>
      </c>
      <c r="Q30" s="823">
        <f t="shared" si="7"/>
        <v>0</v>
      </c>
    </row>
    <row r="31" spans="1:18">
      <c r="A31" s="849" t="s">
        <v>3148</v>
      </c>
      <c r="B31" s="851" t="s">
        <v>3345</v>
      </c>
      <c r="C31" s="849" t="s">
        <v>3347</v>
      </c>
      <c r="D31" s="850">
        <v>31900</v>
      </c>
      <c r="E31" s="850">
        <v>0</v>
      </c>
      <c r="F31" s="850">
        <v>31900</v>
      </c>
      <c r="G31" s="850">
        <v>0</v>
      </c>
      <c r="H31" s="850">
        <v>31900</v>
      </c>
      <c r="I31" s="850">
        <v>0</v>
      </c>
      <c r="J31" s="850">
        <v>31900</v>
      </c>
      <c r="K31" s="850">
        <v>0</v>
      </c>
      <c r="L31" s="850">
        <v>0</v>
      </c>
      <c r="M31">
        <f t="shared" si="4"/>
        <v>12</v>
      </c>
      <c r="N31" s="823">
        <f t="shared" si="5"/>
        <v>0</v>
      </c>
      <c r="O31" s="821">
        <f t="shared" si="6"/>
        <v>0</v>
      </c>
      <c r="P31">
        <v>0</v>
      </c>
      <c r="Q31" s="823">
        <f t="shared" si="7"/>
        <v>0</v>
      </c>
    </row>
    <row r="32" spans="1:18">
      <c r="A32" s="849" t="s">
        <v>3148</v>
      </c>
      <c r="B32" s="851" t="s">
        <v>3345</v>
      </c>
      <c r="C32" s="849" t="s">
        <v>3348</v>
      </c>
      <c r="D32" s="850">
        <v>4169670</v>
      </c>
      <c r="E32" s="850">
        <v>0</v>
      </c>
      <c r="F32" s="850">
        <v>4169670</v>
      </c>
      <c r="G32" s="850">
        <v>0</v>
      </c>
      <c r="H32" s="850">
        <v>4169670</v>
      </c>
      <c r="I32" s="850">
        <v>0</v>
      </c>
      <c r="J32" s="850">
        <v>4169670</v>
      </c>
      <c r="K32" s="850">
        <v>0</v>
      </c>
      <c r="L32" s="850">
        <v>0</v>
      </c>
      <c r="M32">
        <f t="shared" si="4"/>
        <v>12</v>
      </c>
      <c r="N32" s="823">
        <f t="shared" si="5"/>
        <v>0</v>
      </c>
      <c r="O32" s="821">
        <f t="shared" si="6"/>
        <v>0</v>
      </c>
      <c r="P32">
        <v>0</v>
      </c>
      <c r="Q32" s="823">
        <f t="shared" si="7"/>
        <v>0</v>
      </c>
    </row>
    <row r="33" spans="1:17">
      <c r="A33" s="849" t="s">
        <v>3148</v>
      </c>
      <c r="B33" s="851" t="s">
        <v>3350</v>
      </c>
      <c r="C33" s="849" t="s">
        <v>3349</v>
      </c>
      <c r="D33" s="850">
        <v>64000</v>
      </c>
      <c r="E33" s="850">
        <v>0</v>
      </c>
      <c r="F33" s="850">
        <v>64000</v>
      </c>
      <c r="G33" s="850">
        <v>0</v>
      </c>
      <c r="H33" s="850">
        <v>64000</v>
      </c>
      <c r="I33" s="850">
        <v>0</v>
      </c>
      <c r="J33" s="850">
        <v>64000</v>
      </c>
      <c r="K33" s="850">
        <v>0</v>
      </c>
      <c r="L33" s="850">
        <v>0</v>
      </c>
      <c r="M33">
        <f t="shared" si="4"/>
        <v>12</v>
      </c>
      <c r="N33" s="823">
        <f t="shared" si="5"/>
        <v>0</v>
      </c>
      <c r="O33" s="821">
        <f t="shared" si="6"/>
        <v>0</v>
      </c>
      <c r="P33">
        <v>0</v>
      </c>
      <c r="Q33" s="823">
        <f t="shared" si="7"/>
        <v>0</v>
      </c>
    </row>
    <row r="34" spans="1:17">
      <c r="A34" s="849" t="s">
        <v>3148</v>
      </c>
      <c r="B34" s="851" t="s">
        <v>3350</v>
      </c>
      <c r="C34" s="849" t="s">
        <v>3351</v>
      </c>
      <c r="D34" s="850">
        <v>38000</v>
      </c>
      <c r="E34" s="850">
        <v>0</v>
      </c>
      <c r="F34" s="850">
        <v>38000</v>
      </c>
      <c r="G34" s="850">
        <v>0</v>
      </c>
      <c r="H34" s="850">
        <v>38000</v>
      </c>
      <c r="I34" s="850">
        <v>0</v>
      </c>
      <c r="J34" s="850">
        <v>38000</v>
      </c>
      <c r="K34" s="850">
        <v>0</v>
      </c>
      <c r="L34" s="850">
        <v>0</v>
      </c>
      <c r="M34">
        <f t="shared" si="4"/>
        <v>12</v>
      </c>
      <c r="N34" s="823">
        <f t="shared" si="5"/>
        <v>0</v>
      </c>
      <c r="O34" s="821">
        <f t="shared" si="6"/>
        <v>0</v>
      </c>
      <c r="P34">
        <v>0</v>
      </c>
      <c r="Q34" s="823">
        <f t="shared" si="7"/>
        <v>0</v>
      </c>
    </row>
    <row r="35" spans="1:17">
      <c r="A35" s="849" t="s">
        <v>3148</v>
      </c>
      <c r="B35" s="851" t="s">
        <v>3353</v>
      </c>
      <c r="C35" s="849" t="s">
        <v>3352</v>
      </c>
      <c r="D35" s="850">
        <v>58000</v>
      </c>
      <c r="E35" s="850">
        <v>0</v>
      </c>
      <c r="F35" s="850">
        <v>58000</v>
      </c>
      <c r="G35" s="850">
        <v>0</v>
      </c>
      <c r="H35" s="850">
        <v>58000</v>
      </c>
      <c r="I35" s="850">
        <v>0</v>
      </c>
      <c r="J35" s="850">
        <v>58000</v>
      </c>
      <c r="K35" s="850">
        <v>0</v>
      </c>
      <c r="L35" s="850">
        <v>0</v>
      </c>
      <c r="M35">
        <f t="shared" si="4"/>
        <v>12</v>
      </c>
      <c r="N35" s="823">
        <f t="shared" si="5"/>
        <v>0</v>
      </c>
      <c r="O35" s="821">
        <f t="shared" si="6"/>
        <v>0</v>
      </c>
      <c r="P35">
        <v>0</v>
      </c>
      <c r="Q35" s="823">
        <f t="shared" si="7"/>
        <v>0</v>
      </c>
    </row>
    <row r="36" spans="1:17">
      <c r="A36" s="849" t="s">
        <v>3148</v>
      </c>
      <c r="B36" s="851" t="s">
        <v>3355</v>
      </c>
      <c r="C36" s="849" t="s">
        <v>3354</v>
      </c>
      <c r="D36" s="850">
        <v>190000</v>
      </c>
      <c r="E36" s="850">
        <v>0</v>
      </c>
      <c r="F36" s="850">
        <v>190000</v>
      </c>
      <c r="G36" s="850">
        <v>0</v>
      </c>
      <c r="H36" s="850">
        <v>190000</v>
      </c>
      <c r="I36" s="850">
        <v>0</v>
      </c>
      <c r="J36" s="850">
        <v>190000</v>
      </c>
      <c r="K36" s="850">
        <v>0</v>
      </c>
      <c r="L36" s="850">
        <v>0</v>
      </c>
      <c r="M36">
        <f t="shared" si="4"/>
        <v>12</v>
      </c>
      <c r="N36" s="823">
        <f t="shared" si="5"/>
        <v>0</v>
      </c>
      <c r="O36" s="821">
        <f t="shared" si="6"/>
        <v>0</v>
      </c>
      <c r="P36">
        <v>0</v>
      </c>
      <c r="Q36" s="823">
        <f t="shared" si="7"/>
        <v>0</v>
      </c>
    </row>
    <row r="37" spans="1:17">
      <c r="A37" s="849" t="s">
        <v>3148</v>
      </c>
      <c r="B37" s="851" t="s">
        <v>3357</v>
      </c>
      <c r="C37" s="849" t="s">
        <v>3356</v>
      </c>
      <c r="D37" s="850">
        <v>121000</v>
      </c>
      <c r="E37" s="850">
        <v>0</v>
      </c>
      <c r="F37" s="850">
        <v>121000</v>
      </c>
      <c r="G37" s="850">
        <v>0</v>
      </c>
      <c r="H37" s="850">
        <v>121000</v>
      </c>
      <c r="I37" s="850">
        <v>0</v>
      </c>
      <c r="J37" s="850">
        <v>121000</v>
      </c>
      <c r="K37" s="850">
        <v>0</v>
      </c>
      <c r="L37" s="850">
        <v>0</v>
      </c>
      <c r="M37">
        <f t="shared" si="4"/>
        <v>12</v>
      </c>
      <c r="N37" s="823">
        <f t="shared" si="5"/>
        <v>0</v>
      </c>
      <c r="O37" s="821">
        <f t="shared" si="6"/>
        <v>0</v>
      </c>
      <c r="P37">
        <v>0</v>
      </c>
      <c r="Q37" s="823">
        <f t="shared" si="7"/>
        <v>0</v>
      </c>
    </row>
    <row r="38" spans="1:17">
      <c r="A38" s="849" t="s">
        <v>3148</v>
      </c>
      <c r="B38" s="851" t="s">
        <v>3359</v>
      </c>
      <c r="C38" s="849" t="s">
        <v>3358</v>
      </c>
      <c r="D38" s="850">
        <v>999000</v>
      </c>
      <c r="E38" s="850">
        <v>0</v>
      </c>
      <c r="F38" s="850">
        <v>999000</v>
      </c>
      <c r="G38" s="850">
        <v>0</v>
      </c>
      <c r="H38" s="850">
        <v>999000</v>
      </c>
      <c r="I38" s="850">
        <v>0</v>
      </c>
      <c r="J38" s="850">
        <v>999000</v>
      </c>
      <c r="K38" s="850">
        <v>0</v>
      </c>
      <c r="L38" s="850">
        <v>0</v>
      </c>
      <c r="M38">
        <f t="shared" si="4"/>
        <v>12</v>
      </c>
      <c r="N38" s="823">
        <f t="shared" si="5"/>
        <v>0</v>
      </c>
      <c r="O38" s="821">
        <f t="shared" si="6"/>
        <v>0</v>
      </c>
      <c r="P38">
        <v>0</v>
      </c>
      <c r="Q38" s="823">
        <f t="shared" si="7"/>
        <v>0</v>
      </c>
    </row>
    <row r="39" spans="1:17">
      <c r="A39" s="849" t="s">
        <v>3148</v>
      </c>
      <c r="B39" s="851" t="s">
        <v>3361</v>
      </c>
      <c r="C39" s="849" t="s">
        <v>3360</v>
      </c>
      <c r="D39" s="850">
        <v>115000</v>
      </c>
      <c r="E39" s="850">
        <v>0</v>
      </c>
      <c r="F39" s="850">
        <v>115000</v>
      </c>
      <c r="G39" s="850">
        <v>0</v>
      </c>
      <c r="H39" s="850">
        <v>115000</v>
      </c>
      <c r="I39" s="850">
        <v>0</v>
      </c>
      <c r="J39" s="850">
        <v>115000</v>
      </c>
      <c r="K39" s="850">
        <v>0</v>
      </c>
      <c r="L39" s="850">
        <v>0</v>
      </c>
      <c r="M39">
        <f t="shared" si="4"/>
        <v>12</v>
      </c>
      <c r="N39" s="823">
        <f t="shared" si="5"/>
        <v>0</v>
      </c>
      <c r="O39" s="821">
        <f t="shared" si="6"/>
        <v>0</v>
      </c>
      <c r="P39">
        <v>0</v>
      </c>
      <c r="Q39" s="823">
        <f t="shared" si="7"/>
        <v>0</v>
      </c>
    </row>
    <row r="40" spans="1:17">
      <c r="A40" s="849" t="s">
        <v>3148</v>
      </c>
      <c r="B40" s="851" t="s">
        <v>3361</v>
      </c>
      <c r="C40" s="849" t="s">
        <v>3362</v>
      </c>
      <c r="D40" s="850">
        <v>110000</v>
      </c>
      <c r="E40" s="850">
        <v>0</v>
      </c>
      <c r="F40" s="850">
        <v>110000</v>
      </c>
      <c r="G40" s="850">
        <v>0</v>
      </c>
      <c r="H40" s="850">
        <v>110000</v>
      </c>
      <c r="I40" s="850">
        <v>0</v>
      </c>
      <c r="J40" s="850">
        <v>110000</v>
      </c>
      <c r="K40" s="850">
        <v>0</v>
      </c>
      <c r="L40" s="850">
        <v>0</v>
      </c>
      <c r="M40">
        <f t="shared" si="4"/>
        <v>12</v>
      </c>
      <c r="N40" s="823">
        <f t="shared" si="5"/>
        <v>0</v>
      </c>
      <c r="O40" s="821">
        <f t="shared" si="6"/>
        <v>0</v>
      </c>
      <c r="P40">
        <v>0</v>
      </c>
      <c r="Q40" s="823">
        <f t="shared" si="7"/>
        <v>0</v>
      </c>
    </row>
    <row r="41" spans="1:17">
      <c r="A41" s="849" t="s">
        <v>3148</v>
      </c>
      <c r="B41" s="851" t="s">
        <v>3361</v>
      </c>
      <c r="C41" s="849" t="s">
        <v>3363</v>
      </c>
      <c r="D41" s="850">
        <v>91500</v>
      </c>
      <c r="E41" s="850">
        <v>0</v>
      </c>
      <c r="F41" s="850">
        <v>91500</v>
      </c>
      <c r="G41" s="850">
        <v>0</v>
      </c>
      <c r="H41" s="850">
        <v>91500</v>
      </c>
      <c r="I41" s="850">
        <v>0</v>
      </c>
      <c r="J41" s="850">
        <v>91500</v>
      </c>
      <c r="K41" s="850">
        <v>0</v>
      </c>
      <c r="L41" s="850">
        <v>0</v>
      </c>
      <c r="M41">
        <f t="shared" si="4"/>
        <v>12</v>
      </c>
      <c r="N41" s="823">
        <f t="shared" si="5"/>
        <v>0</v>
      </c>
      <c r="O41" s="821">
        <f t="shared" si="6"/>
        <v>0</v>
      </c>
      <c r="P41">
        <v>0</v>
      </c>
      <c r="Q41" s="823">
        <f t="shared" si="7"/>
        <v>0</v>
      </c>
    </row>
    <row r="42" spans="1:17">
      <c r="A42" s="849" t="s">
        <v>3148</v>
      </c>
      <c r="B42" s="851" t="s">
        <v>3361</v>
      </c>
      <c r="C42" s="849" t="s">
        <v>3364</v>
      </c>
      <c r="D42" s="850">
        <v>120000</v>
      </c>
      <c r="E42" s="850">
        <v>0</v>
      </c>
      <c r="F42" s="850">
        <v>120000</v>
      </c>
      <c r="G42" s="850">
        <v>0</v>
      </c>
      <c r="H42" s="850">
        <v>120000</v>
      </c>
      <c r="I42" s="850">
        <v>0</v>
      </c>
      <c r="J42" s="850">
        <v>120000</v>
      </c>
      <c r="K42" s="850">
        <v>0</v>
      </c>
      <c r="L42" s="850">
        <v>0</v>
      </c>
      <c r="M42">
        <f t="shared" si="4"/>
        <v>12</v>
      </c>
      <c r="N42" s="823">
        <f t="shared" si="5"/>
        <v>0</v>
      </c>
      <c r="O42" s="821">
        <f t="shared" si="6"/>
        <v>0</v>
      </c>
      <c r="P42">
        <v>0</v>
      </c>
      <c r="Q42" s="823">
        <f t="shared" si="7"/>
        <v>0</v>
      </c>
    </row>
    <row r="43" spans="1:17">
      <c r="A43" s="849" t="s">
        <v>3148</v>
      </c>
      <c r="B43" s="851" t="s">
        <v>3361</v>
      </c>
      <c r="C43" s="849" t="s">
        <v>3365</v>
      </c>
      <c r="D43" s="850">
        <v>550000</v>
      </c>
      <c r="E43" s="850">
        <v>0</v>
      </c>
      <c r="F43" s="850">
        <v>550000</v>
      </c>
      <c r="G43" s="850">
        <v>0</v>
      </c>
      <c r="H43" s="850">
        <v>550000</v>
      </c>
      <c r="I43" s="850">
        <v>0</v>
      </c>
      <c r="J43" s="850">
        <v>550000</v>
      </c>
      <c r="K43" s="850">
        <v>0</v>
      </c>
      <c r="L43" s="850">
        <v>0</v>
      </c>
      <c r="M43">
        <f t="shared" si="4"/>
        <v>12</v>
      </c>
      <c r="N43" s="823">
        <f t="shared" si="5"/>
        <v>0</v>
      </c>
      <c r="O43" s="821">
        <f t="shared" si="6"/>
        <v>0</v>
      </c>
      <c r="P43">
        <v>0</v>
      </c>
      <c r="Q43" s="823">
        <f t="shared" si="7"/>
        <v>0</v>
      </c>
    </row>
    <row r="44" spans="1:17">
      <c r="A44" s="849" t="s">
        <v>3148</v>
      </c>
      <c r="B44" s="851" t="s">
        <v>3367</v>
      </c>
      <c r="C44" s="849" t="s">
        <v>3366</v>
      </c>
      <c r="D44" s="850">
        <v>41000</v>
      </c>
      <c r="E44" s="850">
        <v>0</v>
      </c>
      <c r="F44" s="850">
        <v>41000</v>
      </c>
      <c r="G44" s="850">
        <v>0</v>
      </c>
      <c r="H44" s="850">
        <v>41000</v>
      </c>
      <c r="I44" s="850">
        <v>0</v>
      </c>
      <c r="J44" s="850">
        <v>41000</v>
      </c>
      <c r="K44" s="850">
        <v>0</v>
      </c>
      <c r="L44" s="850">
        <v>0</v>
      </c>
      <c r="M44">
        <f t="shared" si="4"/>
        <v>12</v>
      </c>
      <c r="N44" s="823">
        <f t="shared" si="5"/>
        <v>0</v>
      </c>
      <c r="O44" s="821">
        <f t="shared" si="6"/>
        <v>0</v>
      </c>
      <c r="P44">
        <v>0</v>
      </c>
      <c r="Q44" s="823">
        <f t="shared" si="7"/>
        <v>0</v>
      </c>
    </row>
    <row r="45" spans="1:17">
      <c r="A45" s="849" t="s">
        <v>3148</v>
      </c>
      <c r="B45" s="851" t="s">
        <v>3369</v>
      </c>
      <c r="C45" s="849" t="s">
        <v>3368</v>
      </c>
      <c r="D45" s="850">
        <v>1782000</v>
      </c>
      <c r="E45" s="850">
        <v>0</v>
      </c>
      <c r="F45" s="850">
        <v>1782000</v>
      </c>
      <c r="G45" s="850">
        <v>0</v>
      </c>
      <c r="H45" s="850">
        <v>1782000</v>
      </c>
      <c r="I45" s="850">
        <v>0</v>
      </c>
      <c r="J45" s="850">
        <v>1782000</v>
      </c>
      <c r="K45" s="850">
        <v>0</v>
      </c>
      <c r="L45" s="850">
        <v>0</v>
      </c>
      <c r="M45">
        <f t="shared" si="4"/>
        <v>12</v>
      </c>
      <c r="N45" s="823">
        <f t="shared" si="5"/>
        <v>0</v>
      </c>
      <c r="O45" s="821">
        <f t="shared" si="6"/>
        <v>0</v>
      </c>
      <c r="P45">
        <v>0</v>
      </c>
      <c r="Q45" s="823">
        <f t="shared" si="7"/>
        <v>0</v>
      </c>
    </row>
    <row r="46" spans="1:17">
      <c r="A46" s="849" t="s">
        <v>3148</v>
      </c>
      <c r="B46" s="851" t="s">
        <v>3371</v>
      </c>
      <c r="C46" s="849" t="s">
        <v>3370</v>
      </c>
      <c r="D46" s="850">
        <v>68000</v>
      </c>
      <c r="E46" s="850">
        <v>0</v>
      </c>
      <c r="F46" s="850">
        <v>68000</v>
      </c>
      <c r="G46" s="850">
        <v>0</v>
      </c>
      <c r="H46" s="850">
        <v>68000</v>
      </c>
      <c r="I46" s="850">
        <v>0</v>
      </c>
      <c r="J46" s="850">
        <v>68000</v>
      </c>
      <c r="K46" s="850">
        <v>0</v>
      </c>
      <c r="L46" s="850">
        <v>0</v>
      </c>
      <c r="M46">
        <f t="shared" si="4"/>
        <v>12</v>
      </c>
      <c r="N46" s="823">
        <f t="shared" si="5"/>
        <v>0</v>
      </c>
      <c r="O46" s="821">
        <f t="shared" si="6"/>
        <v>0</v>
      </c>
      <c r="P46">
        <v>0</v>
      </c>
      <c r="Q46" s="823">
        <f t="shared" si="7"/>
        <v>0</v>
      </c>
    </row>
    <row r="47" spans="1:17">
      <c r="A47" s="849" t="s">
        <v>3148</v>
      </c>
      <c r="B47" s="851" t="s">
        <v>3373</v>
      </c>
      <c r="C47" s="849" t="s">
        <v>3372</v>
      </c>
      <c r="D47" s="850">
        <v>253000</v>
      </c>
      <c r="E47" s="850">
        <v>0</v>
      </c>
      <c r="F47" s="850">
        <v>253000</v>
      </c>
      <c r="G47" s="850">
        <v>0</v>
      </c>
      <c r="H47" s="850">
        <v>253000</v>
      </c>
      <c r="I47" s="850">
        <v>0</v>
      </c>
      <c r="J47" s="850">
        <v>253000</v>
      </c>
      <c r="K47" s="850">
        <v>0</v>
      </c>
      <c r="L47" s="850">
        <v>0</v>
      </c>
      <c r="M47">
        <f t="shared" si="4"/>
        <v>12</v>
      </c>
      <c r="N47" s="823">
        <f t="shared" si="5"/>
        <v>0</v>
      </c>
      <c r="O47" s="821">
        <f t="shared" si="6"/>
        <v>0</v>
      </c>
      <c r="P47">
        <v>0</v>
      </c>
      <c r="Q47" s="823">
        <f t="shared" si="7"/>
        <v>0</v>
      </c>
    </row>
    <row r="48" spans="1:17">
      <c r="A48" s="849" t="s">
        <v>3148</v>
      </c>
      <c r="B48" s="851" t="s">
        <v>3375</v>
      </c>
      <c r="C48" s="849" t="s">
        <v>3374</v>
      </c>
      <c r="D48" s="850">
        <v>48000</v>
      </c>
      <c r="E48" s="850">
        <v>0</v>
      </c>
      <c r="F48" s="850">
        <v>48000</v>
      </c>
      <c r="G48" s="850">
        <v>0</v>
      </c>
      <c r="H48" s="850">
        <v>48000</v>
      </c>
      <c r="I48" s="850">
        <v>0</v>
      </c>
      <c r="J48" s="850">
        <v>48000</v>
      </c>
      <c r="K48" s="850">
        <v>0</v>
      </c>
      <c r="L48" s="850">
        <v>0</v>
      </c>
      <c r="M48">
        <f t="shared" si="4"/>
        <v>12</v>
      </c>
      <c r="N48" s="823">
        <f t="shared" si="5"/>
        <v>0</v>
      </c>
      <c r="O48" s="821">
        <f t="shared" si="6"/>
        <v>0</v>
      </c>
      <c r="P48">
        <v>0</v>
      </c>
      <c r="Q48" s="823">
        <f t="shared" si="7"/>
        <v>0</v>
      </c>
    </row>
    <row r="49" spans="1:17">
      <c r="A49" s="849" t="s">
        <v>3148</v>
      </c>
      <c r="B49" s="851" t="s">
        <v>3377</v>
      </c>
      <c r="C49" s="849" t="s">
        <v>3376</v>
      </c>
      <c r="D49" s="850">
        <v>460000</v>
      </c>
      <c r="E49" s="850">
        <v>0</v>
      </c>
      <c r="F49" s="850">
        <v>460000</v>
      </c>
      <c r="G49" s="850">
        <v>0</v>
      </c>
      <c r="H49" s="850">
        <v>460000</v>
      </c>
      <c r="I49" s="850">
        <v>0</v>
      </c>
      <c r="J49" s="850">
        <v>460000</v>
      </c>
      <c r="K49" s="850">
        <v>0</v>
      </c>
      <c r="L49" s="850">
        <v>0</v>
      </c>
      <c r="M49">
        <f t="shared" si="4"/>
        <v>12</v>
      </c>
      <c r="N49" s="823">
        <f t="shared" si="5"/>
        <v>0</v>
      </c>
      <c r="O49" s="821">
        <f t="shared" si="6"/>
        <v>0</v>
      </c>
      <c r="P49">
        <v>0</v>
      </c>
      <c r="Q49" s="823">
        <f t="shared" si="7"/>
        <v>0</v>
      </c>
    </row>
    <row r="50" spans="1:17">
      <c r="A50" s="849" t="s">
        <v>3148</v>
      </c>
      <c r="B50" s="851" t="s">
        <v>3379</v>
      </c>
      <c r="C50" s="849" t="s">
        <v>3378</v>
      </c>
      <c r="D50" s="850">
        <v>84000</v>
      </c>
      <c r="E50" s="850">
        <v>0</v>
      </c>
      <c r="F50" s="850">
        <v>84000</v>
      </c>
      <c r="G50" s="850">
        <v>0</v>
      </c>
      <c r="H50" s="850">
        <v>84000</v>
      </c>
      <c r="I50" s="850">
        <v>0</v>
      </c>
      <c r="J50" s="850">
        <v>84000</v>
      </c>
      <c r="K50" s="850">
        <v>0</v>
      </c>
      <c r="L50" s="850">
        <v>0</v>
      </c>
      <c r="M50">
        <f t="shared" si="4"/>
        <v>12</v>
      </c>
      <c r="N50" s="823">
        <f t="shared" si="5"/>
        <v>0</v>
      </c>
      <c r="O50" s="821">
        <f t="shared" si="6"/>
        <v>0</v>
      </c>
      <c r="P50">
        <v>0</v>
      </c>
      <c r="Q50" s="823">
        <f t="shared" si="7"/>
        <v>0</v>
      </c>
    </row>
    <row r="51" spans="1:17">
      <c r="A51" s="849" t="s">
        <v>3148</v>
      </c>
      <c r="B51" s="851" t="s">
        <v>3379</v>
      </c>
      <c r="C51" s="849" t="s">
        <v>3380</v>
      </c>
      <c r="D51" s="850">
        <v>429000</v>
      </c>
      <c r="E51" s="850">
        <v>0</v>
      </c>
      <c r="F51" s="850">
        <v>429000</v>
      </c>
      <c r="G51" s="850">
        <v>0</v>
      </c>
      <c r="H51" s="850">
        <v>429000</v>
      </c>
      <c r="I51" s="850">
        <v>0</v>
      </c>
      <c r="J51" s="850">
        <v>429000</v>
      </c>
      <c r="K51" s="850">
        <v>0</v>
      </c>
      <c r="L51" s="850">
        <v>0</v>
      </c>
      <c r="M51">
        <f t="shared" si="4"/>
        <v>12</v>
      </c>
      <c r="N51" s="823">
        <f t="shared" si="5"/>
        <v>0</v>
      </c>
      <c r="O51" s="821">
        <f t="shared" si="6"/>
        <v>0</v>
      </c>
      <c r="P51">
        <v>0</v>
      </c>
      <c r="Q51" s="823">
        <f t="shared" si="7"/>
        <v>0</v>
      </c>
    </row>
    <row r="52" spans="1:17">
      <c r="A52" s="849" t="s">
        <v>3148</v>
      </c>
      <c r="B52" s="851" t="s">
        <v>3382</v>
      </c>
      <c r="C52" s="849" t="s">
        <v>3381</v>
      </c>
      <c r="D52" s="850">
        <v>2400000</v>
      </c>
      <c r="E52" s="850">
        <v>0</v>
      </c>
      <c r="F52" s="850">
        <v>2400000</v>
      </c>
      <c r="G52" s="850">
        <v>0</v>
      </c>
      <c r="H52" s="850">
        <v>2400000</v>
      </c>
      <c r="I52" s="850">
        <v>0</v>
      </c>
      <c r="J52" s="850">
        <v>2400000</v>
      </c>
      <c r="K52" s="850">
        <v>0</v>
      </c>
      <c r="L52" s="850">
        <v>0</v>
      </c>
      <c r="M52">
        <f t="shared" si="4"/>
        <v>12</v>
      </c>
      <c r="N52" s="823">
        <f t="shared" si="5"/>
        <v>0</v>
      </c>
      <c r="O52" s="821">
        <f t="shared" si="6"/>
        <v>0</v>
      </c>
      <c r="P52">
        <v>0</v>
      </c>
      <c r="Q52" s="823">
        <f t="shared" si="7"/>
        <v>0</v>
      </c>
    </row>
    <row r="53" spans="1:17">
      <c r="A53" s="849" t="s">
        <v>3148</v>
      </c>
      <c r="B53" s="851" t="s">
        <v>3384</v>
      </c>
      <c r="C53" s="849" t="s">
        <v>3383</v>
      </c>
      <c r="D53" s="850">
        <v>100000</v>
      </c>
      <c r="E53" s="850">
        <v>0</v>
      </c>
      <c r="F53" s="850">
        <v>100000</v>
      </c>
      <c r="G53" s="850">
        <v>0</v>
      </c>
      <c r="H53" s="850">
        <v>100000</v>
      </c>
      <c r="I53" s="850">
        <v>0</v>
      </c>
      <c r="J53" s="850">
        <v>100000</v>
      </c>
      <c r="K53" s="850">
        <v>0</v>
      </c>
      <c r="L53" s="850">
        <v>0</v>
      </c>
      <c r="M53">
        <f t="shared" si="4"/>
        <v>12</v>
      </c>
      <c r="N53" s="823">
        <f t="shared" si="5"/>
        <v>0</v>
      </c>
      <c r="O53" s="821">
        <f t="shared" si="6"/>
        <v>0</v>
      </c>
      <c r="P53">
        <v>0</v>
      </c>
      <c r="Q53" s="823">
        <f t="shared" si="7"/>
        <v>0</v>
      </c>
    </row>
    <row r="54" spans="1:17">
      <c r="A54" s="849" t="s">
        <v>3148</v>
      </c>
      <c r="B54" s="851" t="s">
        <v>3386</v>
      </c>
      <c r="C54" s="849" t="s">
        <v>3385</v>
      </c>
      <c r="D54" s="850">
        <v>3350000</v>
      </c>
      <c r="E54" s="850">
        <v>0</v>
      </c>
      <c r="F54" s="850">
        <v>3350000</v>
      </c>
      <c r="G54" s="850">
        <v>0</v>
      </c>
      <c r="H54" s="850">
        <v>3350000</v>
      </c>
      <c r="I54" s="850">
        <v>0</v>
      </c>
      <c r="J54" s="850">
        <v>3350000</v>
      </c>
      <c r="K54" s="850">
        <v>0</v>
      </c>
      <c r="L54" s="850">
        <v>0</v>
      </c>
      <c r="M54">
        <f t="shared" si="4"/>
        <v>12</v>
      </c>
      <c r="N54" s="823">
        <f t="shared" si="5"/>
        <v>0</v>
      </c>
      <c r="O54" s="821">
        <f t="shared" si="6"/>
        <v>0</v>
      </c>
      <c r="P54">
        <v>0</v>
      </c>
      <c r="Q54" s="823">
        <f t="shared" si="7"/>
        <v>0</v>
      </c>
    </row>
    <row r="55" spans="1:17">
      <c r="A55" s="849" t="s">
        <v>3148</v>
      </c>
      <c r="B55" s="851" t="s">
        <v>3388</v>
      </c>
      <c r="C55" s="849" t="s">
        <v>3387</v>
      </c>
      <c r="D55" s="850">
        <v>3350000</v>
      </c>
      <c r="E55" s="850">
        <v>0</v>
      </c>
      <c r="F55" s="850">
        <v>3350000</v>
      </c>
      <c r="G55" s="850">
        <v>0</v>
      </c>
      <c r="H55" s="850">
        <v>3350000</v>
      </c>
      <c r="I55" s="850">
        <v>0</v>
      </c>
      <c r="J55" s="850">
        <v>3350000</v>
      </c>
      <c r="K55" s="850">
        <v>0</v>
      </c>
      <c r="L55" s="850">
        <v>0</v>
      </c>
      <c r="M55">
        <f t="shared" si="4"/>
        <v>12</v>
      </c>
      <c r="N55" s="823">
        <f t="shared" si="5"/>
        <v>0</v>
      </c>
      <c r="O55" s="821">
        <f t="shared" si="6"/>
        <v>0</v>
      </c>
      <c r="P55">
        <v>0</v>
      </c>
      <c r="Q55" s="823">
        <f t="shared" si="7"/>
        <v>0</v>
      </c>
    </row>
    <row r="56" spans="1:17">
      <c r="A56" s="849" t="s">
        <v>3148</v>
      </c>
      <c r="B56" s="851" t="s">
        <v>3390</v>
      </c>
      <c r="C56" s="849" t="s">
        <v>3389</v>
      </c>
      <c r="D56" s="850">
        <v>1012000</v>
      </c>
      <c r="E56" s="850">
        <v>0</v>
      </c>
      <c r="F56" s="850">
        <v>1012000</v>
      </c>
      <c r="G56" s="850">
        <v>0</v>
      </c>
      <c r="H56" s="850">
        <v>1012000</v>
      </c>
      <c r="I56" s="850">
        <v>0</v>
      </c>
      <c r="J56" s="850">
        <v>1012000</v>
      </c>
      <c r="K56" s="850">
        <v>0</v>
      </c>
      <c r="L56" s="850">
        <v>0</v>
      </c>
      <c r="M56">
        <f t="shared" si="4"/>
        <v>12</v>
      </c>
      <c r="N56" s="823">
        <f t="shared" si="5"/>
        <v>0</v>
      </c>
      <c r="O56" s="821">
        <f t="shared" si="6"/>
        <v>0</v>
      </c>
      <c r="P56">
        <v>0</v>
      </c>
      <c r="Q56" s="823">
        <f t="shared" si="7"/>
        <v>0</v>
      </c>
    </row>
    <row r="57" spans="1:17">
      <c r="A57" s="849" t="s">
        <v>3148</v>
      </c>
      <c r="B57" s="851" t="s">
        <v>3392</v>
      </c>
      <c r="C57" s="849" t="s">
        <v>3391</v>
      </c>
      <c r="D57" s="850">
        <v>290000</v>
      </c>
      <c r="E57" s="850">
        <v>0</v>
      </c>
      <c r="F57" s="850">
        <v>290000</v>
      </c>
      <c r="G57" s="850">
        <v>0</v>
      </c>
      <c r="H57" s="850">
        <v>290000</v>
      </c>
      <c r="I57" s="850">
        <v>0</v>
      </c>
      <c r="J57" s="850">
        <v>290000</v>
      </c>
      <c r="K57" s="850">
        <v>0</v>
      </c>
      <c r="L57" s="850">
        <v>0</v>
      </c>
      <c r="M57">
        <f t="shared" si="4"/>
        <v>12</v>
      </c>
      <c r="N57" s="823">
        <f t="shared" si="5"/>
        <v>0</v>
      </c>
      <c r="O57" s="821">
        <f t="shared" si="6"/>
        <v>0</v>
      </c>
      <c r="P57">
        <v>0</v>
      </c>
      <c r="Q57" s="823">
        <f t="shared" si="7"/>
        <v>0</v>
      </c>
    </row>
    <row r="58" spans="1:17">
      <c r="A58" s="849" t="s">
        <v>3148</v>
      </c>
      <c r="B58" s="851" t="s">
        <v>3394</v>
      </c>
      <c r="C58" s="849" t="s">
        <v>3393</v>
      </c>
      <c r="D58" s="850">
        <v>2068000</v>
      </c>
      <c r="E58" s="850">
        <v>0</v>
      </c>
      <c r="F58" s="850">
        <v>2068000</v>
      </c>
      <c r="G58" s="850">
        <v>0</v>
      </c>
      <c r="H58" s="850">
        <v>2068000</v>
      </c>
      <c r="I58" s="850">
        <v>0</v>
      </c>
      <c r="J58" s="850">
        <v>2068000</v>
      </c>
      <c r="K58" s="850">
        <v>0</v>
      </c>
      <c r="L58" s="850">
        <v>0</v>
      </c>
      <c r="M58">
        <f t="shared" si="4"/>
        <v>12</v>
      </c>
      <c r="N58" s="823">
        <f t="shared" si="5"/>
        <v>0</v>
      </c>
      <c r="O58" s="821">
        <f t="shared" si="6"/>
        <v>0</v>
      </c>
      <c r="P58">
        <v>0</v>
      </c>
      <c r="Q58" s="823">
        <f t="shared" si="7"/>
        <v>0</v>
      </c>
    </row>
    <row r="59" spans="1:17">
      <c r="A59" s="849" t="s">
        <v>3148</v>
      </c>
      <c r="B59" s="851" t="s">
        <v>3394</v>
      </c>
      <c r="C59" s="849" t="s">
        <v>3395</v>
      </c>
      <c r="D59" s="850">
        <v>1012000</v>
      </c>
      <c r="E59" s="850">
        <v>0</v>
      </c>
      <c r="F59" s="850">
        <v>1012000</v>
      </c>
      <c r="G59" s="850">
        <v>0</v>
      </c>
      <c r="H59" s="850">
        <v>1012000</v>
      </c>
      <c r="I59" s="850">
        <v>0</v>
      </c>
      <c r="J59" s="850">
        <v>1012000</v>
      </c>
      <c r="K59" s="850">
        <v>0</v>
      </c>
      <c r="L59" s="850">
        <v>0</v>
      </c>
      <c r="M59">
        <f t="shared" si="4"/>
        <v>12</v>
      </c>
      <c r="N59" s="823">
        <f t="shared" si="5"/>
        <v>0</v>
      </c>
      <c r="O59" s="821">
        <f t="shared" si="6"/>
        <v>0</v>
      </c>
      <c r="P59">
        <v>0</v>
      </c>
      <c r="Q59" s="823">
        <f t="shared" si="7"/>
        <v>0</v>
      </c>
    </row>
    <row r="60" spans="1:17">
      <c r="A60" s="849" t="s">
        <v>3148</v>
      </c>
      <c r="B60" s="851" t="s">
        <v>3394</v>
      </c>
      <c r="C60" s="849" t="s">
        <v>3395</v>
      </c>
      <c r="D60" s="850">
        <v>1012000</v>
      </c>
      <c r="E60" s="850">
        <v>0</v>
      </c>
      <c r="F60" s="850">
        <v>1012000</v>
      </c>
      <c r="G60" s="850">
        <v>0</v>
      </c>
      <c r="H60" s="850">
        <v>1012000</v>
      </c>
      <c r="I60" s="850">
        <v>0</v>
      </c>
      <c r="J60" s="850">
        <v>1012000</v>
      </c>
      <c r="K60" s="850">
        <v>0</v>
      </c>
      <c r="L60" s="850">
        <v>0</v>
      </c>
      <c r="M60">
        <f t="shared" si="4"/>
        <v>12</v>
      </c>
      <c r="N60" s="823">
        <f t="shared" si="5"/>
        <v>0</v>
      </c>
      <c r="O60" s="821">
        <f t="shared" si="6"/>
        <v>0</v>
      </c>
      <c r="P60">
        <v>0</v>
      </c>
      <c r="Q60" s="823">
        <f t="shared" si="7"/>
        <v>0</v>
      </c>
    </row>
    <row r="61" spans="1:17">
      <c r="A61" s="849" t="s">
        <v>3148</v>
      </c>
      <c r="B61" s="851" t="s">
        <v>3397</v>
      </c>
      <c r="C61" s="849" t="s">
        <v>3396</v>
      </c>
      <c r="D61" s="850">
        <v>223300</v>
      </c>
      <c r="E61" s="850">
        <v>0</v>
      </c>
      <c r="F61" s="850">
        <v>223300</v>
      </c>
      <c r="G61" s="850">
        <v>0</v>
      </c>
      <c r="H61" s="850">
        <v>223300</v>
      </c>
      <c r="I61" s="850">
        <v>0</v>
      </c>
      <c r="J61" s="850">
        <v>223300</v>
      </c>
      <c r="K61" s="850">
        <v>0</v>
      </c>
      <c r="L61" s="850">
        <v>0</v>
      </c>
      <c r="M61">
        <f t="shared" si="4"/>
        <v>12</v>
      </c>
      <c r="N61" s="823">
        <f t="shared" si="5"/>
        <v>0</v>
      </c>
      <c r="O61" s="821">
        <f t="shared" si="6"/>
        <v>0</v>
      </c>
      <c r="P61">
        <v>0</v>
      </c>
      <c r="Q61" s="823">
        <f t="shared" si="7"/>
        <v>0</v>
      </c>
    </row>
    <row r="62" spans="1:17">
      <c r="A62" s="849" t="s">
        <v>3148</v>
      </c>
      <c r="B62" s="851" t="s">
        <v>3397</v>
      </c>
      <c r="C62" s="849" t="s">
        <v>3398</v>
      </c>
      <c r="D62" s="850">
        <v>200200</v>
      </c>
      <c r="E62" s="850">
        <v>0</v>
      </c>
      <c r="F62" s="850">
        <v>200200</v>
      </c>
      <c r="G62" s="850">
        <v>0</v>
      </c>
      <c r="H62" s="850">
        <v>200200</v>
      </c>
      <c r="I62" s="850">
        <v>0</v>
      </c>
      <c r="J62" s="850">
        <v>200200</v>
      </c>
      <c r="K62" s="850">
        <v>0</v>
      </c>
      <c r="L62" s="850">
        <v>0</v>
      </c>
      <c r="M62">
        <f t="shared" si="4"/>
        <v>12</v>
      </c>
      <c r="N62" s="823">
        <f t="shared" si="5"/>
        <v>0</v>
      </c>
      <c r="O62" s="821">
        <f t="shared" si="6"/>
        <v>0</v>
      </c>
      <c r="P62">
        <v>0</v>
      </c>
      <c r="Q62" s="823">
        <f t="shared" si="7"/>
        <v>0</v>
      </c>
    </row>
    <row r="63" spans="1:17">
      <c r="A63" s="849" t="s">
        <v>3148</v>
      </c>
      <c r="B63" s="851" t="s">
        <v>3397</v>
      </c>
      <c r="C63" s="849" t="s">
        <v>3399</v>
      </c>
      <c r="D63" s="850">
        <v>270600</v>
      </c>
      <c r="E63" s="850">
        <v>0</v>
      </c>
      <c r="F63" s="850">
        <v>270600</v>
      </c>
      <c r="G63" s="850">
        <v>0</v>
      </c>
      <c r="H63" s="850">
        <v>270600</v>
      </c>
      <c r="I63" s="850">
        <v>0</v>
      </c>
      <c r="J63" s="850">
        <v>270600</v>
      </c>
      <c r="K63" s="850">
        <v>0</v>
      </c>
      <c r="L63" s="850">
        <v>0</v>
      </c>
      <c r="M63">
        <f t="shared" si="4"/>
        <v>12</v>
      </c>
      <c r="N63" s="823">
        <f t="shared" si="5"/>
        <v>0</v>
      </c>
      <c r="O63" s="821">
        <f t="shared" si="6"/>
        <v>0</v>
      </c>
      <c r="P63">
        <v>0</v>
      </c>
      <c r="Q63" s="823">
        <f t="shared" si="7"/>
        <v>0</v>
      </c>
    </row>
    <row r="64" spans="1:17">
      <c r="A64" s="849" t="s">
        <v>3148</v>
      </c>
      <c r="B64" s="851" t="s">
        <v>3397</v>
      </c>
      <c r="C64" s="849" t="s">
        <v>3400</v>
      </c>
      <c r="D64" s="850">
        <v>1413500</v>
      </c>
      <c r="E64" s="850">
        <v>0</v>
      </c>
      <c r="F64" s="850">
        <v>1413500</v>
      </c>
      <c r="G64" s="850">
        <v>0</v>
      </c>
      <c r="H64" s="850">
        <v>1413500</v>
      </c>
      <c r="I64" s="850">
        <v>0</v>
      </c>
      <c r="J64" s="850">
        <v>1413500</v>
      </c>
      <c r="K64" s="850">
        <v>0</v>
      </c>
      <c r="L64" s="850">
        <v>0</v>
      </c>
      <c r="M64">
        <f t="shared" si="4"/>
        <v>12</v>
      </c>
      <c r="N64" s="823">
        <f t="shared" si="5"/>
        <v>0</v>
      </c>
      <c r="O64" s="821">
        <f t="shared" si="6"/>
        <v>0</v>
      </c>
      <c r="P64">
        <v>0</v>
      </c>
      <c r="Q64" s="823">
        <f t="shared" si="7"/>
        <v>0</v>
      </c>
    </row>
    <row r="65" spans="1:17">
      <c r="A65" s="849" t="s">
        <v>3148</v>
      </c>
      <c r="B65" s="851" t="s">
        <v>3397</v>
      </c>
      <c r="C65" s="849" t="s">
        <v>3401</v>
      </c>
      <c r="D65" s="850">
        <v>132000</v>
      </c>
      <c r="E65" s="850">
        <v>0</v>
      </c>
      <c r="F65" s="850">
        <v>132000</v>
      </c>
      <c r="G65" s="850">
        <v>0</v>
      </c>
      <c r="H65" s="850">
        <v>132000</v>
      </c>
      <c r="I65" s="850">
        <v>0</v>
      </c>
      <c r="J65" s="850">
        <v>132000</v>
      </c>
      <c r="K65" s="850">
        <v>0</v>
      </c>
      <c r="L65" s="850">
        <v>0</v>
      </c>
      <c r="M65">
        <f t="shared" si="4"/>
        <v>12</v>
      </c>
      <c r="N65" s="823">
        <f t="shared" si="5"/>
        <v>0</v>
      </c>
      <c r="O65" s="821">
        <f t="shared" si="6"/>
        <v>0</v>
      </c>
      <c r="P65">
        <v>0</v>
      </c>
      <c r="Q65" s="823">
        <f t="shared" si="7"/>
        <v>0</v>
      </c>
    </row>
    <row r="66" spans="1:17">
      <c r="A66" s="849" t="s">
        <v>3148</v>
      </c>
      <c r="B66" s="851" t="s">
        <v>3397</v>
      </c>
      <c r="C66" s="849" t="s">
        <v>3402</v>
      </c>
      <c r="D66" s="850">
        <v>454300</v>
      </c>
      <c r="E66" s="850">
        <v>0</v>
      </c>
      <c r="F66" s="850">
        <v>454300</v>
      </c>
      <c r="G66" s="850">
        <v>0</v>
      </c>
      <c r="H66" s="850">
        <v>454300</v>
      </c>
      <c r="I66" s="850">
        <v>0</v>
      </c>
      <c r="J66" s="850">
        <v>454300</v>
      </c>
      <c r="K66" s="850">
        <v>0</v>
      </c>
      <c r="L66" s="850">
        <v>0</v>
      </c>
      <c r="M66">
        <f t="shared" si="4"/>
        <v>12</v>
      </c>
      <c r="N66" s="823">
        <f t="shared" si="5"/>
        <v>0</v>
      </c>
      <c r="O66" s="821">
        <f t="shared" si="6"/>
        <v>0</v>
      </c>
      <c r="P66">
        <v>0</v>
      </c>
      <c r="Q66" s="823">
        <f t="shared" si="7"/>
        <v>0</v>
      </c>
    </row>
    <row r="67" spans="1:17">
      <c r="A67" s="849" t="s">
        <v>3148</v>
      </c>
      <c r="B67" s="851" t="s">
        <v>3404</v>
      </c>
      <c r="C67" s="849" t="s">
        <v>3403</v>
      </c>
      <c r="D67" s="850">
        <v>1830000</v>
      </c>
      <c r="E67" s="850">
        <v>0</v>
      </c>
      <c r="F67" s="850">
        <v>1830000</v>
      </c>
      <c r="G67" s="850">
        <v>0</v>
      </c>
      <c r="H67" s="850">
        <v>1830000</v>
      </c>
      <c r="I67" s="850">
        <v>0</v>
      </c>
      <c r="J67" s="850">
        <v>1830000</v>
      </c>
      <c r="K67" s="850">
        <v>0</v>
      </c>
      <c r="L67" s="850">
        <v>0</v>
      </c>
      <c r="M67">
        <f t="shared" si="4"/>
        <v>12</v>
      </c>
      <c r="N67" s="823">
        <f t="shared" si="5"/>
        <v>0</v>
      </c>
      <c r="O67" s="821">
        <f t="shared" si="6"/>
        <v>0</v>
      </c>
      <c r="P67">
        <v>0</v>
      </c>
      <c r="Q67" s="823">
        <f t="shared" si="7"/>
        <v>0</v>
      </c>
    </row>
    <row r="68" spans="1:17">
      <c r="A68" s="849" t="s">
        <v>3148</v>
      </c>
      <c r="B68" s="851" t="s">
        <v>3406</v>
      </c>
      <c r="C68" s="849" t="s">
        <v>3405</v>
      </c>
      <c r="D68" s="850">
        <v>200200</v>
      </c>
      <c r="E68" s="850">
        <v>0</v>
      </c>
      <c r="F68" s="850">
        <v>200200</v>
      </c>
      <c r="G68" s="850">
        <v>0</v>
      </c>
      <c r="H68" s="850">
        <v>200200</v>
      </c>
      <c r="I68" s="850">
        <v>0</v>
      </c>
      <c r="J68" s="850">
        <v>200200</v>
      </c>
      <c r="K68" s="850">
        <v>0</v>
      </c>
      <c r="L68" s="850">
        <v>0</v>
      </c>
      <c r="M68">
        <f t="shared" si="4"/>
        <v>12</v>
      </c>
      <c r="N68" s="823">
        <f t="shared" si="5"/>
        <v>0</v>
      </c>
      <c r="O68" s="821">
        <f t="shared" si="6"/>
        <v>0</v>
      </c>
      <c r="P68">
        <v>0</v>
      </c>
      <c r="Q68" s="823">
        <f t="shared" si="7"/>
        <v>0</v>
      </c>
    </row>
    <row r="69" spans="1:17">
      <c r="A69" s="849" t="s">
        <v>3148</v>
      </c>
      <c r="B69" s="851" t="s">
        <v>3406</v>
      </c>
      <c r="C69" s="849" t="s">
        <v>3401</v>
      </c>
      <c r="D69" s="850">
        <v>132000</v>
      </c>
      <c r="E69" s="850">
        <v>0</v>
      </c>
      <c r="F69" s="850">
        <v>132000</v>
      </c>
      <c r="G69" s="850">
        <v>0</v>
      </c>
      <c r="H69" s="850">
        <v>132000</v>
      </c>
      <c r="I69" s="850">
        <v>0</v>
      </c>
      <c r="J69" s="850">
        <v>132000</v>
      </c>
      <c r="K69" s="850">
        <v>0</v>
      </c>
      <c r="L69" s="850">
        <v>0</v>
      </c>
      <c r="M69">
        <f t="shared" si="4"/>
        <v>12</v>
      </c>
      <c r="N69" s="823">
        <f t="shared" si="5"/>
        <v>0</v>
      </c>
      <c r="O69" s="821">
        <f t="shared" si="6"/>
        <v>0</v>
      </c>
      <c r="P69">
        <v>0</v>
      </c>
      <c r="Q69" s="823">
        <f t="shared" si="7"/>
        <v>0</v>
      </c>
    </row>
    <row r="70" spans="1:17">
      <c r="A70" s="849" t="s">
        <v>3148</v>
      </c>
      <c r="B70" s="851" t="s">
        <v>3406</v>
      </c>
      <c r="C70" s="849" t="s">
        <v>3399</v>
      </c>
      <c r="D70" s="850">
        <v>135300</v>
      </c>
      <c r="E70" s="850">
        <v>0</v>
      </c>
      <c r="F70" s="850">
        <v>135300</v>
      </c>
      <c r="G70" s="850">
        <v>0</v>
      </c>
      <c r="H70" s="850">
        <v>135300</v>
      </c>
      <c r="I70" s="850">
        <v>0</v>
      </c>
      <c r="J70" s="850">
        <v>135300</v>
      </c>
      <c r="K70" s="850">
        <v>0</v>
      </c>
      <c r="L70" s="850">
        <v>0</v>
      </c>
      <c r="M70">
        <f t="shared" si="4"/>
        <v>12</v>
      </c>
      <c r="N70" s="823">
        <f t="shared" si="5"/>
        <v>0</v>
      </c>
      <c r="O70" s="821">
        <f t="shared" si="6"/>
        <v>0</v>
      </c>
      <c r="P70">
        <v>0</v>
      </c>
      <c r="Q70" s="823">
        <f t="shared" si="7"/>
        <v>0</v>
      </c>
    </row>
    <row r="71" spans="1:17">
      <c r="A71" s="849" t="s">
        <v>3148</v>
      </c>
      <c r="B71" s="851" t="s">
        <v>3408</v>
      </c>
      <c r="C71" s="849" t="s">
        <v>3407</v>
      </c>
      <c r="D71" s="850">
        <v>1800000</v>
      </c>
      <c r="E71" s="850">
        <v>0</v>
      </c>
      <c r="F71" s="850">
        <v>1800000</v>
      </c>
      <c r="G71" s="850">
        <v>0</v>
      </c>
      <c r="H71" s="850">
        <v>1800000</v>
      </c>
      <c r="I71" s="850">
        <v>0</v>
      </c>
      <c r="J71" s="850">
        <v>1800000</v>
      </c>
      <c r="K71" s="850">
        <v>0</v>
      </c>
      <c r="L71" s="850">
        <v>0</v>
      </c>
      <c r="M71">
        <f t="shared" si="4"/>
        <v>12</v>
      </c>
      <c r="N71" s="823">
        <f t="shared" si="5"/>
        <v>0</v>
      </c>
      <c r="O71" s="821">
        <f t="shared" si="6"/>
        <v>0</v>
      </c>
      <c r="P71">
        <v>0</v>
      </c>
      <c r="Q71" s="823">
        <f t="shared" si="7"/>
        <v>0</v>
      </c>
    </row>
    <row r="72" spans="1:17">
      <c r="A72" s="849" t="s">
        <v>3148</v>
      </c>
      <c r="B72" s="851" t="s">
        <v>3408</v>
      </c>
      <c r="C72" s="849" t="s">
        <v>3409</v>
      </c>
      <c r="D72" s="850">
        <v>300000</v>
      </c>
      <c r="E72" s="850">
        <v>0</v>
      </c>
      <c r="F72" s="850">
        <v>300000</v>
      </c>
      <c r="G72" s="850">
        <v>0</v>
      </c>
      <c r="H72" s="850">
        <v>300000</v>
      </c>
      <c r="I72" s="850">
        <v>0</v>
      </c>
      <c r="J72" s="850">
        <v>300000</v>
      </c>
      <c r="K72" s="850">
        <v>0</v>
      </c>
      <c r="L72" s="850">
        <v>0</v>
      </c>
      <c r="M72">
        <f t="shared" si="4"/>
        <v>12</v>
      </c>
      <c r="N72" s="823">
        <f t="shared" si="5"/>
        <v>0</v>
      </c>
      <c r="O72" s="821">
        <f t="shared" si="6"/>
        <v>0</v>
      </c>
      <c r="P72">
        <v>0</v>
      </c>
      <c r="Q72" s="823">
        <f t="shared" si="7"/>
        <v>0</v>
      </c>
    </row>
    <row r="73" spans="1:17">
      <c r="A73" s="849" t="s">
        <v>3148</v>
      </c>
      <c r="B73" s="851" t="s">
        <v>3411</v>
      </c>
      <c r="C73" s="849" t="s">
        <v>3410</v>
      </c>
      <c r="D73" s="850">
        <v>1306500</v>
      </c>
      <c r="E73" s="850">
        <v>0</v>
      </c>
      <c r="F73" s="850">
        <v>1306500</v>
      </c>
      <c r="G73" s="850">
        <v>0</v>
      </c>
      <c r="H73" s="850">
        <v>1306500</v>
      </c>
      <c r="I73" s="850">
        <v>0</v>
      </c>
      <c r="J73" s="850">
        <v>1306500</v>
      </c>
      <c r="K73" s="850">
        <v>0</v>
      </c>
      <c r="L73" s="850">
        <v>0</v>
      </c>
      <c r="M73">
        <f t="shared" si="4"/>
        <v>12</v>
      </c>
      <c r="N73" s="823">
        <f t="shared" si="5"/>
        <v>0</v>
      </c>
      <c r="O73" s="821">
        <f t="shared" si="6"/>
        <v>0</v>
      </c>
      <c r="P73">
        <v>0</v>
      </c>
      <c r="Q73" s="823">
        <f t="shared" si="7"/>
        <v>0</v>
      </c>
    </row>
    <row r="74" spans="1:17">
      <c r="A74" s="849" t="s">
        <v>3148</v>
      </c>
      <c r="B74" s="851" t="s">
        <v>3413</v>
      </c>
      <c r="C74" s="849" t="s">
        <v>3412</v>
      </c>
      <c r="D74" s="850">
        <v>195000</v>
      </c>
      <c r="E74" s="850">
        <v>0</v>
      </c>
      <c r="F74" s="850">
        <v>195000</v>
      </c>
      <c r="G74" s="850">
        <v>0</v>
      </c>
      <c r="H74" s="850">
        <v>195000</v>
      </c>
      <c r="I74" s="850">
        <v>0</v>
      </c>
      <c r="J74" s="850">
        <v>195000</v>
      </c>
      <c r="K74" s="850">
        <v>0</v>
      </c>
      <c r="L74" s="850">
        <v>0</v>
      </c>
      <c r="M74">
        <f t="shared" si="4"/>
        <v>12</v>
      </c>
      <c r="N74" s="823">
        <f t="shared" si="5"/>
        <v>0</v>
      </c>
      <c r="O74" s="821">
        <f t="shared" si="6"/>
        <v>0</v>
      </c>
      <c r="P74">
        <v>0</v>
      </c>
      <c r="Q74" s="823">
        <f t="shared" si="7"/>
        <v>0</v>
      </c>
    </row>
    <row r="75" spans="1:17">
      <c r="A75" s="849" t="s">
        <v>3148</v>
      </c>
      <c r="B75" s="851" t="s">
        <v>3415</v>
      </c>
      <c r="C75" s="849" t="s">
        <v>3414</v>
      </c>
      <c r="D75" s="850">
        <v>1180000</v>
      </c>
      <c r="E75" s="850">
        <v>0</v>
      </c>
      <c r="F75" s="850">
        <v>1180000</v>
      </c>
      <c r="G75" s="850">
        <v>0</v>
      </c>
      <c r="H75" s="850">
        <v>1180000</v>
      </c>
      <c r="I75" s="850">
        <v>0</v>
      </c>
      <c r="J75" s="850">
        <v>1180000</v>
      </c>
      <c r="K75" s="850">
        <v>0</v>
      </c>
      <c r="L75" s="850">
        <v>0</v>
      </c>
      <c r="M75">
        <f t="shared" si="4"/>
        <v>12</v>
      </c>
      <c r="N75" s="823">
        <f t="shared" si="5"/>
        <v>0</v>
      </c>
      <c r="O75" s="821">
        <f t="shared" si="6"/>
        <v>0</v>
      </c>
      <c r="P75">
        <v>0</v>
      </c>
      <c r="Q75" s="823">
        <f t="shared" si="7"/>
        <v>0</v>
      </c>
    </row>
    <row r="76" spans="1:17">
      <c r="A76" s="849" t="s">
        <v>3148</v>
      </c>
      <c r="B76" s="851" t="s">
        <v>3417</v>
      </c>
      <c r="C76" s="849" t="s">
        <v>3416</v>
      </c>
      <c r="D76" s="850">
        <v>220000</v>
      </c>
      <c r="E76" s="850">
        <v>0</v>
      </c>
      <c r="F76" s="850">
        <v>220000</v>
      </c>
      <c r="G76" s="850">
        <v>0</v>
      </c>
      <c r="H76" s="850">
        <v>220000</v>
      </c>
      <c r="I76" s="850">
        <v>0</v>
      </c>
      <c r="J76" s="850">
        <v>220000</v>
      </c>
      <c r="K76" s="850">
        <v>0</v>
      </c>
      <c r="L76" s="850">
        <v>0</v>
      </c>
      <c r="M76">
        <f t="shared" si="4"/>
        <v>12</v>
      </c>
      <c r="N76" s="823">
        <f t="shared" si="5"/>
        <v>0</v>
      </c>
      <c r="O76" s="821">
        <f t="shared" si="6"/>
        <v>0</v>
      </c>
      <c r="P76">
        <v>0</v>
      </c>
      <c r="Q76" s="823">
        <f t="shared" si="7"/>
        <v>0</v>
      </c>
    </row>
    <row r="77" spans="1:17">
      <c r="A77" s="849" t="s">
        <v>3148</v>
      </c>
      <c r="B77" s="851" t="s">
        <v>3417</v>
      </c>
      <c r="C77" s="849" t="s">
        <v>3418</v>
      </c>
      <c r="D77" s="850">
        <v>1210000</v>
      </c>
      <c r="E77" s="850">
        <v>0</v>
      </c>
      <c r="F77" s="850">
        <v>1210000</v>
      </c>
      <c r="G77" s="850">
        <v>0</v>
      </c>
      <c r="H77" s="850">
        <v>1210000</v>
      </c>
      <c r="I77" s="850">
        <v>0</v>
      </c>
      <c r="J77" s="850">
        <v>1210000</v>
      </c>
      <c r="K77" s="850">
        <v>0</v>
      </c>
      <c r="L77" s="850">
        <v>0</v>
      </c>
      <c r="M77">
        <f t="shared" si="4"/>
        <v>12</v>
      </c>
      <c r="N77" s="823">
        <f t="shared" si="5"/>
        <v>0</v>
      </c>
      <c r="O77" s="821">
        <f t="shared" si="6"/>
        <v>0</v>
      </c>
      <c r="P77">
        <v>0</v>
      </c>
      <c r="Q77" s="823">
        <f t="shared" si="7"/>
        <v>0</v>
      </c>
    </row>
    <row r="78" spans="1:17">
      <c r="A78" s="849" t="s">
        <v>3148</v>
      </c>
      <c r="B78" s="851" t="s">
        <v>3417</v>
      </c>
      <c r="C78" s="849" t="s">
        <v>3419</v>
      </c>
      <c r="D78" s="850">
        <v>1386000</v>
      </c>
      <c r="E78" s="850">
        <v>0</v>
      </c>
      <c r="F78" s="850">
        <v>1386000</v>
      </c>
      <c r="G78" s="850">
        <v>0</v>
      </c>
      <c r="H78" s="850">
        <v>1386000</v>
      </c>
      <c r="I78" s="850">
        <v>0</v>
      </c>
      <c r="J78" s="850">
        <v>1386000</v>
      </c>
      <c r="K78" s="850">
        <v>0</v>
      </c>
      <c r="L78" s="850">
        <v>0</v>
      </c>
      <c r="M78">
        <f t="shared" si="4"/>
        <v>12</v>
      </c>
      <c r="N78" s="823">
        <f t="shared" si="5"/>
        <v>0</v>
      </c>
      <c r="O78" s="821">
        <f t="shared" si="6"/>
        <v>0</v>
      </c>
      <c r="P78">
        <v>0</v>
      </c>
      <c r="Q78" s="823">
        <f t="shared" si="7"/>
        <v>0</v>
      </c>
    </row>
    <row r="79" spans="1:17">
      <c r="A79" s="849" t="s">
        <v>3148</v>
      </c>
      <c r="B79" s="851" t="s">
        <v>3421</v>
      </c>
      <c r="C79" s="849" t="s">
        <v>3420</v>
      </c>
      <c r="D79" s="850">
        <v>3300000</v>
      </c>
      <c r="E79" s="850">
        <v>0</v>
      </c>
      <c r="F79" s="850">
        <v>3300000</v>
      </c>
      <c r="G79" s="850">
        <v>0</v>
      </c>
      <c r="H79" s="850">
        <v>3300000</v>
      </c>
      <c r="I79" s="850">
        <v>0</v>
      </c>
      <c r="J79" s="850">
        <v>3300000</v>
      </c>
      <c r="K79" s="850">
        <v>0</v>
      </c>
      <c r="L79" s="850">
        <v>0</v>
      </c>
      <c r="M79">
        <f t="shared" si="4"/>
        <v>12</v>
      </c>
      <c r="N79" s="823">
        <f t="shared" si="5"/>
        <v>0</v>
      </c>
      <c r="O79" s="821">
        <f t="shared" si="6"/>
        <v>0</v>
      </c>
      <c r="P79">
        <v>0</v>
      </c>
      <c r="Q79" s="823">
        <f t="shared" si="7"/>
        <v>0</v>
      </c>
    </row>
    <row r="80" spans="1:17">
      <c r="A80" s="849" t="s">
        <v>3148</v>
      </c>
      <c r="B80" s="851" t="s">
        <v>3423</v>
      </c>
      <c r="C80" s="849" t="s">
        <v>3422</v>
      </c>
      <c r="D80" s="850">
        <v>1150000</v>
      </c>
      <c r="E80" s="850">
        <v>0</v>
      </c>
      <c r="F80" s="850">
        <v>1150000</v>
      </c>
      <c r="G80" s="850">
        <v>0</v>
      </c>
      <c r="H80" s="850">
        <v>1150000</v>
      </c>
      <c r="I80" s="850">
        <v>0</v>
      </c>
      <c r="J80" s="850">
        <v>1150000</v>
      </c>
      <c r="K80" s="850">
        <v>0</v>
      </c>
      <c r="L80" s="850">
        <v>0</v>
      </c>
      <c r="M80">
        <f t="shared" si="4"/>
        <v>12</v>
      </c>
      <c r="N80" s="823">
        <f t="shared" si="5"/>
        <v>0</v>
      </c>
      <c r="O80" s="821">
        <f t="shared" si="6"/>
        <v>0</v>
      </c>
      <c r="P80">
        <v>0</v>
      </c>
      <c r="Q80" s="823">
        <f t="shared" si="7"/>
        <v>0</v>
      </c>
    </row>
    <row r="81" spans="1:17">
      <c r="A81" s="849" t="s">
        <v>3148</v>
      </c>
      <c r="B81" s="851" t="s">
        <v>3425</v>
      </c>
      <c r="C81" s="849" t="s">
        <v>3424</v>
      </c>
      <c r="D81" s="850">
        <v>65000</v>
      </c>
      <c r="E81" s="850">
        <v>0</v>
      </c>
      <c r="F81" s="850">
        <v>65000</v>
      </c>
      <c r="G81" s="850">
        <v>0</v>
      </c>
      <c r="H81" s="850">
        <v>65000</v>
      </c>
      <c r="I81" s="850">
        <v>0</v>
      </c>
      <c r="J81" s="850">
        <v>65000</v>
      </c>
      <c r="K81" s="850">
        <v>0</v>
      </c>
      <c r="L81" s="850">
        <v>0</v>
      </c>
      <c r="M81">
        <f t="shared" si="4"/>
        <v>12</v>
      </c>
      <c r="N81" s="823">
        <f t="shared" si="5"/>
        <v>0</v>
      </c>
      <c r="O81" s="821">
        <f t="shared" si="6"/>
        <v>0</v>
      </c>
      <c r="P81">
        <v>0</v>
      </c>
      <c r="Q81" s="823">
        <f t="shared" si="7"/>
        <v>0</v>
      </c>
    </row>
    <row r="82" spans="1:17">
      <c r="A82" s="849" t="s">
        <v>3148</v>
      </c>
      <c r="B82" s="851" t="s">
        <v>3427</v>
      </c>
      <c r="C82" s="849" t="s">
        <v>3426</v>
      </c>
      <c r="D82" s="850">
        <v>2640000</v>
      </c>
      <c r="E82" s="850">
        <v>0</v>
      </c>
      <c r="F82" s="850">
        <v>2640000</v>
      </c>
      <c r="G82" s="850">
        <v>0</v>
      </c>
      <c r="H82" s="850">
        <v>2640000</v>
      </c>
      <c r="I82" s="850">
        <v>0</v>
      </c>
      <c r="J82" s="850">
        <v>2640000</v>
      </c>
      <c r="K82" s="850">
        <v>0</v>
      </c>
      <c r="L82" s="850">
        <v>0</v>
      </c>
      <c r="M82">
        <f t="shared" si="4"/>
        <v>12</v>
      </c>
      <c r="N82" s="823">
        <f t="shared" si="5"/>
        <v>0</v>
      </c>
      <c r="O82" s="821">
        <f t="shared" si="6"/>
        <v>0</v>
      </c>
      <c r="P82">
        <v>0</v>
      </c>
      <c r="Q82" s="823">
        <f t="shared" si="7"/>
        <v>0</v>
      </c>
    </row>
    <row r="83" spans="1:17">
      <c r="A83" s="849" t="s">
        <v>3148</v>
      </c>
      <c r="B83" s="851" t="s">
        <v>3429</v>
      </c>
      <c r="C83" s="849" t="s">
        <v>3428</v>
      </c>
      <c r="D83" s="850">
        <v>264000</v>
      </c>
      <c r="E83" s="850">
        <v>0</v>
      </c>
      <c r="F83" s="850">
        <v>0</v>
      </c>
      <c r="G83" s="850">
        <v>264000</v>
      </c>
      <c r="H83" s="850">
        <v>258500</v>
      </c>
      <c r="I83" s="850">
        <v>4500</v>
      </c>
      <c r="J83" s="850">
        <v>0</v>
      </c>
      <c r="K83" s="850">
        <v>263000</v>
      </c>
      <c r="L83" s="850">
        <v>1000</v>
      </c>
      <c r="M83">
        <f t="shared" si="4"/>
        <v>12</v>
      </c>
      <c r="N83" s="823">
        <f>IF(DATEDIF(B83,$M$8,"m")+1&gt;=48,G83-H83-1000,G83*$C$7/12*M83)</f>
        <v>4500</v>
      </c>
      <c r="O83" s="821">
        <f t="shared" si="6"/>
        <v>0</v>
      </c>
      <c r="P83">
        <v>4500</v>
      </c>
      <c r="Q83" s="823">
        <f t="shared" si="7"/>
        <v>0</v>
      </c>
    </row>
    <row r="84" spans="1:17">
      <c r="A84" s="849" t="s">
        <v>3148</v>
      </c>
      <c r="B84" s="851" t="s">
        <v>3430</v>
      </c>
      <c r="C84" s="849" t="s">
        <v>3424</v>
      </c>
      <c r="D84" s="850">
        <v>40000</v>
      </c>
      <c r="E84" s="850">
        <v>0</v>
      </c>
      <c r="F84" s="850">
        <v>0</v>
      </c>
      <c r="G84" s="850">
        <v>40000</v>
      </c>
      <c r="H84" s="850">
        <v>37167</v>
      </c>
      <c r="I84" s="850">
        <v>1833</v>
      </c>
      <c r="J84" s="850">
        <v>0</v>
      </c>
      <c r="K84" s="850">
        <v>39000</v>
      </c>
      <c r="L84" s="850">
        <v>1000</v>
      </c>
      <c r="M84">
        <f t="shared" si="4"/>
        <v>12</v>
      </c>
      <c r="N84" s="823">
        <f t="shared" ref="N84:N119" si="8">IF(DATEDIF(B84,$M$8,"m")+1&gt;=48,G84-H84-1000,G84*$C$7/12*M84)</f>
        <v>1833</v>
      </c>
      <c r="O84" s="821">
        <f t="shared" si="6"/>
        <v>0</v>
      </c>
      <c r="P84">
        <v>1833</v>
      </c>
      <c r="Q84" s="823">
        <f t="shared" si="7"/>
        <v>0</v>
      </c>
    </row>
    <row r="85" spans="1:17">
      <c r="A85" s="849" t="s">
        <v>3148</v>
      </c>
      <c r="B85" s="851" t="s">
        <v>3432</v>
      </c>
      <c r="C85" s="849" t="s">
        <v>3431</v>
      </c>
      <c r="D85" s="850">
        <v>350000</v>
      </c>
      <c r="E85" s="850">
        <v>0</v>
      </c>
      <c r="F85" s="850">
        <v>0</v>
      </c>
      <c r="G85" s="850">
        <v>350000</v>
      </c>
      <c r="H85" s="850">
        <v>342708</v>
      </c>
      <c r="I85" s="850">
        <v>6292</v>
      </c>
      <c r="J85" s="850">
        <v>0</v>
      </c>
      <c r="K85" s="850">
        <v>349000</v>
      </c>
      <c r="L85" s="850">
        <v>1000</v>
      </c>
      <c r="M85">
        <f t="shared" si="4"/>
        <v>12</v>
      </c>
      <c r="N85" s="823">
        <f t="shared" si="8"/>
        <v>6292</v>
      </c>
      <c r="O85" s="821">
        <f t="shared" si="6"/>
        <v>0</v>
      </c>
      <c r="P85">
        <v>6292</v>
      </c>
      <c r="Q85" s="823">
        <f t="shared" si="7"/>
        <v>0</v>
      </c>
    </row>
    <row r="86" spans="1:17">
      <c r="A86" s="849" t="s">
        <v>3148</v>
      </c>
      <c r="B86" s="851" t="s">
        <v>3432</v>
      </c>
      <c r="C86" s="849" t="s">
        <v>3433</v>
      </c>
      <c r="D86" s="850">
        <v>3084545</v>
      </c>
      <c r="E86" s="850">
        <v>0</v>
      </c>
      <c r="F86" s="850">
        <v>0</v>
      </c>
      <c r="G86" s="850">
        <v>3084545</v>
      </c>
      <c r="H86" s="850">
        <v>3020283</v>
      </c>
      <c r="I86" s="850">
        <v>63262</v>
      </c>
      <c r="J86" s="850">
        <v>0</v>
      </c>
      <c r="K86" s="850">
        <v>3083545</v>
      </c>
      <c r="L86" s="850">
        <v>1000</v>
      </c>
      <c r="M86">
        <f t="shared" si="4"/>
        <v>12</v>
      </c>
      <c r="N86" s="823">
        <f t="shared" si="8"/>
        <v>63262</v>
      </c>
      <c r="O86" s="821">
        <f t="shared" si="6"/>
        <v>0</v>
      </c>
      <c r="P86">
        <v>63262</v>
      </c>
      <c r="Q86" s="823">
        <f t="shared" si="7"/>
        <v>0</v>
      </c>
    </row>
    <row r="87" spans="1:17">
      <c r="A87" s="849" t="s">
        <v>3148</v>
      </c>
      <c r="B87" s="851" t="s">
        <v>3435</v>
      </c>
      <c r="C87" s="849" t="s">
        <v>3434</v>
      </c>
      <c r="D87" s="850">
        <v>35000</v>
      </c>
      <c r="E87" s="850">
        <v>0</v>
      </c>
      <c r="F87" s="850">
        <v>0</v>
      </c>
      <c r="G87" s="850">
        <v>35000</v>
      </c>
      <c r="H87" s="850">
        <v>33971</v>
      </c>
      <c r="I87" s="850">
        <v>29</v>
      </c>
      <c r="J87" s="850">
        <v>0</v>
      </c>
      <c r="K87" s="850">
        <v>34000</v>
      </c>
      <c r="L87" s="850">
        <v>1000</v>
      </c>
      <c r="M87">
        <f t="shared" si="4"/>
        <v>12</v>
      </c>
      <c r="N87" s="823">
        <f t="shared" si="8"/>
        <v>29</v>
      </c>
      <c r="O87" s="821">
        <f t="shared" si="6"/>
        <v>0</v>
      </c>
      <c r="P87">
        <v>29</v>
      </c>
      <c r="Q87" s="823">
        <f t="shared" si="7"/>
        <v>0</v>
      </c>
    </row>
    <row r="88" spans="1:17">
      <c r="A88" s="849" t="s">
        <v>3148</v>
      </c>
      <c r="B88" s="851" t="s">
        <v>3437</v>
      </c>
      <c r="C88" s="849" t="s">
        <v>3436</v>
      </c>
      <c r="D88" s="850">
        <v>550000</v>
      </c>
      <c r="E88" s="850">
        <v>0</v>
      </c>
      <c r="F88" s="850">
        <v>0</v>
      </c>
      <c r="G88" s="850">
        <v>550000</v>
      </c>
      <c r="H88" s="850">
        <v>538542</v>
      </c>
      <c r="I88" s="850">
        <v>10458</v>
      </c>
      <c r="J88" s="850">
        <v>0</v>
      </c>
      <c r="K88" s="850">
        <v>549000</v>
      </c>
      <c r="L88" s="850">
        <v>1000</v>
      </c>
      <c r="M88">
        <f t="shared" ref="M88:M119" si="9">IF(DATEDIF(B88,$M$8,"m")+1&gt;12,12,DATEDIF(B88,$M$8,"m")+1)</f>
        <v>12</v>
      </c>
      <c r="N88" s="823">
        <f t="shared" si="8"/>
        <v>10458</v>
      </c>
      <c r="O88" s="821">
        <f t="shared" ref="O88:O119" si="10">N88-I88</f>
        <v>0</v>
      </c>
      <c r="P88">
        <v>10458</v>
      </c>
      <c r="Q88" s="823">
        <f t="shared" ref="Q88:Q122" si="11">N88-P88</f>
        <v>0</v>
      </c>
    </row>
    <row r="89" spans="1:17">
      <c r="A89" s="849" t="s">
        <v>3148</v>
      </c>
      <c r="B89" s="851" t="s">
        <v>3437</v>
      </c>
      <c r="C89" s="849" t="s">
        <v>3438</v>
      </c>
      <c r="D89" s="850">
        <v>180000</v>
      </c>
      <c r="E89" s="850">
        <v>0</v>
      </c>
      <c r="F89" s="850">
        <v>0</v>
      </c>
      <c r="G89" s="850">
        <v>180000</v>
      </c>
      <c r="H89" s="850">
        <v>176250</v>
      </c>
      <c r="I89" s="850">
        <v>2750</v>
      </c>
      <c r="J89" s="850">
        <v>0</v>
      </c>
      <c r="K89" s="850">
        <v>179000</v>
      </c>
      <c r="L89" s="850">
        <v>1000</v>
      </c>
      <c r="M89">
        <f t="shared" si="9"/>
        <v>12</v>
      </c>
      <c r="N89" s="823">
        <f t="shared" si="8"/>
        <v>2750</v>
      </c>
      <c r="O89" s="821">
        <f t="shared" si="10"/>
        <v>0</v>
      </c>
      <c r="P89">
        <v>2750</v>
      </c>
      <c r="Q89" s="823">
        <f t="shared" si="11"/>
        <v>0</v>
      </c>
    </row>
    <row r="90" spans="1:17">
      <c r="A90" s="849" t="s">
        <v>3148</v>
      </c>
      <c r="B90" s="851" t="s">
        <v>3440</v>
      </c>
      <c r="C90" s="849" t="s">
        <v>3439</v>
      </c>
      <c r="D90" s="850">
        <v>32000</v>
      </c>
      <c r="E90" s="850">
        <v>0</v>
      </c>
      <c r="F90" s="850">
        <v>0</v>
      </c>
      <c r="G90" s="850">
        <v>32000</v>
      </c>
      <c r="H90" s="850">
        <v>22667</v>
      </c>
      <c r="I90" s="850">
        <v>8333</v>
      </c>
      <c r="J90" s="850">
        <v>0</v>
      </c>
      <c r="K90" s="850">
        <v>31000</v>
      </c>
      <c r="L90" s="850">
        <v>1000</v>
      </c>
      <c r="M90">
        <f t="shared" si="9"/>
        <v>12</v>
      </c>
      <c r="N90" s="823">
        <f t="shared" si="8"/>
        <v>8333</v>
      </c>
      <c r="O90" s="821">
        <f t="shared" si="10"/>
        <v>0</v>
      </c>
      <c r="P90">
        <v>8000</v>
      </c>
      <c r="Q90" s="823">
        <f t="shared" si="11"/>
        <v>333</v>
      </c>
    </row>
    <row r="91" spans="1:17">
      <c r="A91" s="849" t="s">
        <v>3148</v>
      </c>
      <c r="B91" s="851" t="s">
        <v>3442</v>
      </c>
      <c r="C91" s="849" t="s">
        <v>3441</v>
      </c>
      <c r="D91" s="850">
        <v>88000</v>
      </c>
      <c r="E91" s="850">
        <v>0</v>
      </c>
      <c r="F91" s="850">
        <v>0</v>
      </c>
      <c r="G91" s="850">
        <v>88000</v>
      </c>
      <c r="H91" s="850">
        <v>84333</v>
      </c>
      <c r="I91" s="850">
        <v>2667</v>
      </c>
      <c r="J91" s="850">
        <v>0</v>
      </c>
      <c r="K91" s="850">
        <v>87000</v>
      </c>
      <c r="L91" s="850">
        <v>1000</v>
      </c>
      <c r="M91">
        <f t="shared" si="9"/>
        <v>12</v>
      </c>
      <c r="N91" s="823">
        <f t="shared" si="8"/>
        <v>2667</v>
      </c>
      <c r="O91" s="821">
        <f t="shared" si="10"/>
        <v>0</v>
      </c>
      <c r="P91">
        <v>2667</v>
      </c>
      <c r="Q91" s="823">
        <f t="shared" si="11"/>
        <v>0</v>
      </c>
    </row>
    <row r="92" spans="1:17">
      <c r="A92" s="849" t="s">
        <v>3148</v>
      </c>
      <c r="B92" s="851" t="s">
        <v>3442</v>
      </c>
      <c r="C92" s="849" t="s">
        <v>3443</v>
      </c>
      <c r="D92" s="850">
        <v>157273</v>
      </c>
      <c r="E92" s="850">
        <v>0</v>
      </c>
      <c r="F92" s="850">
        <v>0</v>
      </c>
      <c r="G92" s="850">
        <v>157273</v>
      </c>
      <c r="H92" s="850">
        <v>150720</v>
      </c>
      <c r="I92" s="850">
        <v>5553</v>
      </c>
      <c r="J92" s="850">
        <v>0</v>
      </c>
      <c r="K92" s="850">
        <v>156273</v>
      </c>
      <c r="L92" s="850">
        <v>1000</v>
      </c>
      <c r="M92">
        <f t="shared" si="9"/>
        <v>12</v>
      </c>
      <c r="N92" s="823">
        <f t="shared" si="8"/>
        <v>5553</v>
      </c>
      <c r="O92" s="821">
        <f t="shared" si="10"/>
        <v>0</v>
      </c>
      <c r="P92">
        <v>5553</v>
      </c>
      <c r="Q92" s="823">
        <f t="shared" si="11"/>
        <v>0</v>
      </c>
    </row>
    <row r="93" spans="1:17">
      <c r="A93" s="849" t="s">
        <v>3148</v>
      </c>
      <c r="B93" s="851" t="s">
        <v>3445</v>
      </c>
      <c r="C93" s="849" t="s">
        <v>3444</v>
      </c>
      <c r="D93" s="850">
        <v>430000</v>
      </c>
      <c r="E93" s="850">
        <v>0</v>
      </c>
      <c r="F93" s="850">
        <v>0</v>
      </c>
      <c r="G93" s="850">
        <v>430000</v>
      </c>
      <c r="H93" s="850">
        <v>412083</v>
      </c>
      <c r="I93" s="850">
        <v>16917</v>
      </c>
      <c r="J93" s="850">
        <v>0</v>
      </c>
      <c r="K93" s="850">
        <v>429000</v>
      </c>
      <c r="L93" s="850">
        <v>1000</v>
      </c>
      <c r="M93">
        <f t="shared" si="9"/>
        <v>12</v>
      </c>
      <c r="N93" s="823">
        <f t="shared" si="8"/>
        <v>16917</v>
      </c>
      <c r="O93" s="821">
        <f t="shared" si="10"/>
        <v>0</v>
      </c>
      <c r="P93">
        <v>16917</v>
      </c>
      <c r="Q93" s="823">
        <f t="shared" si="11"/>
        <v>0</v>
      </c>
    </row>
    <row r="94" spans="1:17">
      <c r="A94" s="849" t="s">
        <v>3148</v>
      </c>
      <c r="B94" s="851" t="s">
        <v>3447</v>
      </c>
      <c r="C94" s="849" t="s">
        <v>3446</v>
      </c>
      <c r="D94" s="850">
        <v>1794100</v>
      </c>
      <c r="E94" s="850">
        <v>0</v>
      </c>
      <c r="F94" s="850">
        <v>0</v>
      </c>
      <c r="G94" s="850">
        <v>1794100</v>
      </c>
      <c r="H94" s="850">
        <v>1681969</v>
      </c>
      <c r="I94" s="850">
        <v>111131</v>
      </c>
      <c r="J94" s="850">
        <v>0</v>
      </c>
      <c r="K94" s="850">
        <v>1793100</v>
      </c>
      <c r="L94" s="850">
        <v>1000</v>
      </c>
      <c r="M94">
        <f t="shared" si="9"/>
        <v>12</v>
      </c>
      <c r="N94" s="823">
        <f t="shared" si="8"/>
        <v>111131</v>
      </c>
      <c r="O94" s="821">
        <f t="shared" si="10"/>
        <v>0</v>
      </c>
      <c r="P94">
        <v>111131</v>
      </c>
      <c r="Q94" s="823">
        <f t="shared" si="11"/>
        <v>0</v>
      </c>
    </row>
    <row r="95" spans="1:17">
      <c r="A95" s="849" t="s">
        <v>3148</v>
      </c>
      <c r="B95" s="851" t="s">
        <v>3449</v>
      </c>
      <c r="C95" s="849" t="s">
        <v>3448</v>
      </c>
      <c r="D95" s="850">
        <v>1070909</v>
      </c>
      <c r="E95" s="850">
        <v>0</v>
      </c>
      <c r="F95" s="850">
        <v>0</v>
      </c>
      <c r="G95" s="850">
        <v>1070909</v>
      </c>
      <c r="H95" s="850">
        <v>981667</v>
      </c>
      <c r="I95" s="850">
        <v>88242</v>
      </c>
      <c r="J95" s="850">
        <v>0</v>
      </c>
      <c r="K95" s="850">
        <v>1069909</v>
      </c>
      <c r="L95" s="850">
        <v>1000</v>
      </c>
      <c r="M95">
        <f t="shared" si="9"/>
        <v>12</v>
      </c>
      <c r="N95" s="823">
        <f t="shared" si="8"/>
        <v>88242</v>
      </c>
      <c r="O95" s="821">
        <f t="shared" si="10"/>
        <v>0</v>
      </c>
      <c r="P95">
        <v>88242</v>
      </c>
      <c r="Q95" s="823">
        <f t="shared" si="11"/>
        <v>0</v>
      </c>
    </row>
    <row r="96" spans="1:17">
      <c r="A96" s="849" t="s">
        <v>3148</v>
      </c>
      <c r="B96" s="851" t="s">
        <v>3450</v>
      </c>
      <c r="C96" s="849" t="s">
        <v>3351</v>
      </c>
      <c r="D96" s="850">
        <v>170455</v>
      </c>
      <c r="E96" s="850">
        <v>0</v>
      </c>
      <c r="F96" s="850">
        <v>0</v>
      </c>
      <c r="G96" s="850">
        <v>170455</v>
      </c>
      <c r="H96" s="850">
        <v>156250</v>
      </c>
      <c r="I96" s="850">
        <v>13205</v>
      </c>
      <c r="J96" s="850">
        <v>0</v>
      </c>
      <c r="K96" s="850">
        <v>169455</v>
      </c>
      <c r="L96" s="850">
        <v>1000</v>
      </c>
      <c r="M96">
        <f t="shared" si="9"/>
        <v>12</v>
      </c>
      <c r="N96" s="823">
        <f t="shared" si="8"/>
        <v>13205</v>
      </c>
      <c r="O96" s="821">
        <f t="shared" si="10"/>
        <v>0</v>
      </c>
      <c r="P96">
        <v>13205</v>
      </c>
      <c r="Q96" s="823">
        <f t="shared" si="11"/>
        <v>0</v>
      </c>
    </row>
    <row r="97" spans="1:17">
      <c r="A97" s="849" t="s">
        <v>3148</v>
      </c>
      <c r="B97" s="851" t="s">
        <v>3452</v>
      </c>
      <c r="C97" s="849" t="s">
        <v>3451</v>
      </c>
      <c r="D97" s="850">
        <v>93500</v>
      </c>
      <c r="E97" s="850">
        <v>0</v>
      </c>
      <c r="F97" s="850">
        <v>0</v>
      </c>
      <c r="G97" s="850">
        <v>93500</v>
      </c>
      <c r="H97" s="850">
        <v>81813</v>
      </c>
      <c r="I97" s="850">
        <v>10687</v>
      </c>
      <c r="J97" s="850">
        <v>0</v>
      </c>
      <c r="K97" s="850">
        <v>92500</v>
      </c>
      <c r="L97" s="850">
        <v>1000</v>
      </c>
      <c r="M97">
        <f t="shared" si="9"/>
        <v>12</v>
      </c>
      <c r="N97" s="823">
        <f t="shared" si="8"/>
        <v>10687</v>
      </c>
      <c r="O97" s="821">
        <f t="shared" si="10"/>
        <v>0</v>
      </c>
      <c r="P97">
        <v>10687</v>
      </c>
      <c r="Q97" s="823">
        <f t="shared" si="11"/>
        <v>0</v>
      </c>
    </row>
    <row r="98" spans="1:17">
      <c r="A98" s="849" t="s">
        <v>3148</v>
      </c>
      <c r="B98" s="851" t="s">
        <v>3452</v>
      </c>
      <c r="C98" s="849" t="s">
        <v>3446</v>
      </c>
      <c r="D98" s="850">
        <v>193000</v>
      </c>
      <c r="E98" s="850">
        <v>0</v>
      </c>
      <c r="F98" s="850">
        <v>0</v>
      </c>
      <c r="G98" s="850">
        <v>193000</v>
      </c>
      <c r="H98" s="850">
        <v>168875</v>
      </c>
      <c r="I98" s="850">
        <v>23125</v>
      </c>
      <c r="J98" s="850">
        <v>0</v>
      </c>
      <c r="K98" s="850">
        <v>192000</v>
      </c>
      <c r="L98" s="850">
        <v>1000</v>
      </c>
      <c r="M98">
        <f t="shared" si="9"/>
        <v>12</v>
      </c>
      <c r="N98" s="823">
        <f t="shared" si="8"/>
        <v>23125</v>
      </c>
      <c r="O98" s="821">
        <f t="shared" si="10"/>
        <v>0</v>
      </c>
      <c r="P98">
        <v>23125</v>
      </c>
      <c r="Q98" s="823">
        <f t="shared" si="11"/>
        <v>0</v>
      </c>
    </row>
    <row r="99" spans="1:17">
      <c r="A99" s="849" t="s">
        <v>3148</v>
      </c>
      <c r="B99" s="851" t="s">
        <v>3454</v>
      </c>
      <c r="C99" s="849" t="s">
        <v>3453</v>
      </c>
      <c r="D99" s="850">
        <v>54000</v>
      </c>
      <c r="E99" s="850">
        <v>0</v>
      </c>
      <c r="F99" s="850">
        <v>0</v>
      </c>
      <c r="G99" s="850">
        <v>54000</v>
      </c>
      <c r="H99" s="850">
        <v>47250</v>
      </c>
      <c r="I99" s="850">
        <v>5750</v>
      </c>
      <c r="J99" s="850">
        <v>0</v>
      </c>
      <c r="K99" s="850">
        <v>53000</v>
      </c>
      <c r="L99" s="850">
        <v>1000</v>
      </c>
      <c r="M99">
        <f t="shared" si="9"/>
        <v>12</v>
      </c>
      <c r="N99" s="823">
        <f t="shared" si="8"/>
        <v>5750</v>
      </c>
      <c r="O99" s="821">
        <f t="shared" si="10"/>
        <v>0</v>
      </c>
      <c r="P99">
        <v>5750</v>
      </c>
      <c r="Q99" s="823">
        <f t="shared" si="11"/>
        <v>0</v>
      </c>
    </row>
    <row r="100" spans="1:17">
      <c r="A100" s="849" t="s">
        <v>3148</v>
      </c>
      <c r="B100" s="851" t="s">
        <v>3456</v>
      </c>
      <c r="C100" s="849" t="s">
        <v>3455</v>
      </c>
      <c r="D100" s="850">
        <v>120000</v>
      </c>
      <c r="E100" s="850">
        <v>0</v>
      </c>
      <c r="F100" s="850">
        <v>0</v>
      </c>
      <c r="G100" s="850">
        <v>120000</v>
      </c>
      <c r="H100" s="850">
        <v>105000</v>
      </c>
      <c r="I100" s="850">
        <v>14000</v>
      </c>
      <c r="J100" s="850">
        <v>0</v>
      </c>
      <c r="K100" s="850">
        <v>119000</v>
      </c>
      <c r="L100" s="850">
        <v>1000</v>
      </c>
      <c r="M100">
        <f t="shared" si="9"/>
        <v>12</v>
      </c>
      <c r="N100" s="823">
        <f t="shared" si="8"/>
        <v>14000</v>
      </c>
      <c r="O100" s="821">
        <f t="shared" si="10"/>
        <v>0</v>
      </c>
      <c r="P100">
        <v>14000</v>
      </c>
      <c r="Q100" s="823">
        <f t="shared" si="11"/>
        <v>0</v>
      </c>
    </row>
    <row r="101" spans="1:17">
      <c r="A101" s="849" t="s">
        <v>3148</v>
      </c>
      <c r="B101" s="851" t="s">
        <v>3456</v>
      </c>
      <c r="C101" s="849" t="s">
        <v>3457</v>
      </c>
      <c r="D101" s="850">
        <v>50000</v>
      </c>
      <c r="E101" s="850">
        <v>0</v>
      </c>
      <c r="F101" s="850">
        <v>0</v>
      </c>
      <c r="G101" s="850">
        <v>50000</v>
      </c>
      <c r="H101" s="850">
        <v>43750</v>
      </c>
      <c r="I101" s="850">
        <v>5250</v>
      </c>
      <c r="J101" s="850">
        <v>0</v>
      </c>
      <c r="K101" s="850">
        <v>49000</v>
      </c>
      <c r="L101" s="850">
        <v>1000</v>
      </c>
      <c r="M101">
        <f t="shared" si="9"/>
        <v>12</v>
      </c>
      <c r="N101" s="823">
        <f t="shared" si="8"/>
        <v>5250</v>
      </c>
      <c r="O101" s="821">
        <f t="shared" si="10"/>
        <v>0</v>
      </c>
      <c r="P101">
        <v>5250</v>
      </c>
      <c r="Q101" s="823">
        <f t="shared" si="11"/>
        <v>0</v>
      </c>
    </row>
    <row r="102" spans="1:17">
      <c r="A102" s="849" t="s">
        <v>3148</v>
      </c>
      <c r="B102" s="851" t="s">
        <v>3458</v>
      </c>
      <c r="C102" s="849" t="s">
        <v>3424</v>
      </c>
      <c r="D102" s="850">
        <v>36000</v>
      </c>
      <c r="E102" s="850">
        <v>0</v>
      </c>
      <c r="F102" s="850">
        <v>0</v>
      </c>
      <c r="G102" s="850">
        <v>36000</v>
      </c>
      <c r="H102" s="850">
        <v>31500</v>
      </c>
      <c r="I102" s="850">
        <v>3500</v>
      </c>
      <c r="J102" s="850">
        <v>0</v>
      </c>
      <c r="K102" s="850">
        <v>35000</v>
      </c>
      <c r="L102" s="850">
        <v>1000</v>
      </c>
      <c r="M102">
        <f t="shared" si="9"/>
        <v>12</v>
      </c>
      <c r="N102" s="823">
        <f t="shared" si="8"/>
        <v>3500</v>
      </c>
      <c r="O102" s="821">
        <f t="shared" si="10"/>
        <v>0</v>
      </c>
      <c r="P102">
        <v>3500</v>
      </c>
      <c r="Q102" s="823">
        <f t="shared" si="11"/>
        <v>0</v>
      </c>
    </row>
    <row r="103" spans="1:17">
      <c r="A103" s="849" t="s">
        <v>3148</v>
      </c>
      <c r="B103" s="851" t="s">
        <v>3460</v>
      </c>
      <c r="C103" s="849" t="s">
        <v>3459</v>
      </c>
      <c r="D103" s="850">
        <v>2061400</v>
      </c>
      <c r="E103" s="850">
        <v>0</v>
      </c>
      <c r="F103" s="850">
        <v>0</v>
      </c>
      <c r="G103" s="850">
        <v>2061400</v>
      </c>
      <c r="H103" s="850">
        <v>1760779</v>
      </c>
      <c r="I103" s="850">
        <v>299621</v>
      </c>
      <c r="J103" s="850">
        <v>0</v>
      </c>
      <c r="K103" s="850">
        <v>2060400</v>
      </c>
      <c r="L103" s="850">
        <v>1000</v>
      </c>
      <c r="M103">
        <f t="shared" si="9"/>
        <v>12</v>
      </c>
      <c r="N103" s="823">
        <f t="shared" si="8"/>
        <v>299621</v>
      </c>
      <c r="O103" s="821">
        <f t="shared" si="10"/>
        <v>0</v>
      </c>
      <c r="P103">
        <v>299621</v>
      </c>
      <c r="Q103" s="823">
        <f t="shared" si="11"/>
        <v>0</v>
      </c>
    </row>
    <row r="104" spans="1:17">
      <c r="A104" s="849" t="s">
        <v>3148</v>
      </c>
      <c r="B104" s="851" t="s">
        <v>3462</v>
      </c>
      <c r="C104" s="849" t="s">
        <v>3461</v>
      </c>
      <c r="D104" s="850">
        <v>534600</v>
      </c>
      <c r="E104" s="850">
        <v>0</v>
      </c>
      <c r="F104" s="850">
        <v>0</v>
      </c>
      <c r="G104" s="850">
        <v>534600</v>
      </c>
      <c r="H104" s="850">
        <v>456638</v>
      </c>
      <c r="I104" s="850">
        <v>76962</v>
      </c>
      <c r="J104" s="850">
        <v>0</v>
      </c>
      <c r="K104" s="850">
        <v>533600</v>
      </c>
      <c r="L104" s="850">
        <v>1000</v>
      </c>
      <c r="M104">
        <f t="shared" si="9"/>
        <v>12</v>
      </c>
      <c r="N104" s="823">
        <f t="shared" si="8"/>
        <v>76962</v>
      </c>
      <c r="O104" s="821">
        <f t="shared" si="10"/>
        <v>0</v>
      </c>
      <c r="P104">
        <v>76962</v>
      </c>
      <c r="Q104" s="823">
        <f t="shared" si="11"/>
        <v>0</v>
      </c>
    </row>
    <row r="105" spans="1:17">
      <c r="A105" s="849" t="s">
        <v>3148</v>
      </c>
      <c r="B105" s="851" t="s">
        <v>3464</v>
      </c>
      <c r="C105" s="849" t="s">
        <v>3463</v>
      </c>
      <c r="D105" s="850">
        <v>2959000</v>
      </c>
      <c r="E105" s="850">
        <v>0</v>
      </c>
      <c r="F105" s="850">
        <v>0</v>
      </c>
      <c r="G105" s="850">
        <v>2959000</v>
      </c>
      <c r="H105" s="850">
        <v>2280396</v>
      </c>
      <c r="I105" s="850">
        <v>677604</v>
      </c>
      <c r="J105" s="850">
        <v>0</v>
      </c>
      <c r="K105" s="850">
        <v>2958000</v>
      </c>
      <c r="L105" s="850">
        <v>1000</v>
      </c>
      <c r="M105">
        <f t="shared" si="9"/>
        <v>12</v>
      </c>
      <c r="N105" s="823">
        <f t="shared" si="8"/>
        <v>677604</v>
      </c>
      <c r="O105" s="821">
        <f t="shared" si="10"/>
        <v>0</v>
      </c>
      <c r="P105">
        <v>677604</v>
      </c>
      <c r="Q105" s="823">
        <f t="shared" si="11"/>
        <v>0</v>
      </c>
    </row>
    <row r="106" spans="1:17">
      <c r="A106" s="849" t="s">
        <v>3148</v>
      </c>
      <c r="B106" s="851" t="s">
        <v>3466</v>
      </c>
      <c r="C106" s="849" t="s">
        <v>3465</v>
      </c>
      <c r="D106" s="850">
        <v>275000</v>
      </c>
      <c r="E106" s="850">
        <v>0</v>
      </c>
      <c r="F106" s="850">
        <v>0</v>
      </c>
      <c r="G106" s="850">
        <v>275000</v>
      </c>
      <c r="H106" s="850">
        <v>200271</v>
      </c>
      <c r="I106" s="850">
        <v>68750</v>
      </c>
      <c r="J106" s="850">
        <v>0</v>
      </c>
      <c r="K106" s="850">
        <v>269021</v>
      </c>
      <c r="L106" s="850">
        <v>5979</v>
      </c>
      <c r="M106">
        <f t="shared" si="9"/>
        <v>12</v>
      </c>
      <c r="N106" s="823">
        <f t="shared" si="8"/>
        <v>73729</v>
      </c>
      <c r="O106" s="821">
        <f t="shared" si="10"/>
        <v>4979</v>
      </c>
      <c r="P106">
        <v>68750</v>
      </c>
      <c r="Q106" s="823">
        <f t="shared" si="11"/>
        <v>4979</v>
      </c>
    </row>
    <row r="107" spans="1:17">
      <c r="A107" s="849" t="s">
        <v>3148</v>
      </c>
      <c r="B107" s="851" t="s">
        <v>3468</v>
      </c>
      <c r="C107" s="849" t="s">
        <v>3467</v>
      </c>
      <c r="D107" s="850">
        <v>2059200</v>
      </c>
      <c r="E107" s="850">
        <v>0</v>
      </c>
      <c r="F107" s="850">
        <v>0</v>
      </c>
      <c r="G107" s="850">
        <v>2059200</v>
      </c>
      <c r="H107" s="850">
        <v>1501000</v>
      </c>
      <c r="I107" s="850">
        <v>514800</v>
      </c>
      <c r="J107" s="850">
        <v>0</v>
      </c>
      <c r="K107" s="850">
        <v>2015800</v>
      </c>
      <c r="L107" s="850">
        <v>43400</v>
      </c>
      <c r="M107">
        <f t="shared" si="9"/>
        <v>12</v>
      </c>
      <c r="N107" s="823">
        <f t="shared" si="8"/>
        <v>557200</v>
      </c>
      <c r="O107" s="821">
        <f t="shared" si="10"/>
        <v>42400</v>
      </c>
      <c r="P107">
        <v>514800</v>
      </c>
      <c r="Q107" s="823">
        <f t="shared" si="11"/>
        <v>42400</v>
      </c>
    </row>
    <row r="108" spans="1:17">
      <c r="A108" s="849" t="s">
        <v>3148</v>
      </c>
      <c r="B108" s="851" t="s">
        <v>3470</v>
      </c>
      <c r="C108" s="849" t="s">
        <v>3469</v>
      </c>
      <c r="D108" s="850">
        <v>2699400</v>
      </c>
      <c r="E108" s="850">
        <v>0</v>
      </c>
      <c r="F108" s="850">
        <v>0</v>
      </c>
      <c r="G108" s="850">
        <v>2699400</v>
      </c>
      <c r="H108" s="850">
        <v>1855338</v>
      </c>
      <c r="I108" s="850">
        <v>674850</v>
      </c>
      <c r="J108" s="850">
        <v>0</v>
      </c>
      <c r="K108" s="850">
        <v>2530188</v>
      </c>
      <c r="L108" s="850">
        <v>169212</v>
      </c>
      <c r="M108">
        <f t="shared" si="9"/>
        <v>12</v>
      </c>
      <c r="N108" s="823">
        <f t="shared" si="8"/>
        <v>674850</v>
      </c>
      <c r="O108" s="821">
        <f t="shared" si="10"/>
        <v>0</v>
      </c>
      <c r="P108">
        <v>674850</v>
      </c>
      <c r="Q108" s="823">
        <f t="shared" si="11"/>
        <v>0</v>
      </c>
    </row>
    <row r="109" spans="1:17">
      <c r="A109" s="849" t="s">
        <v>3148</v>
      </c>
      <c r="B109" s="851" t="s">
        <v>3472</v>
      </c>
      <c r="C109" s="849" t="s">
        <v>3471</v>
      </c>
      <c r="D109" s="850">
        <v>3375900</v>
      </c>
      <c r="E109" s="850">
        <v>0</v>
      </c>
      <c r="F109" s="850">
        <v>0</v>
      </c>
      <c r="G109" s="850">
        <v>3375900</v>
      </c>
      <c r="H109" s="850">
        <v>2320431</v>
      </c>
      <c r="I109" s="850">
        <v>843975</v>
      </c>
      <c r="J109" s="850">
        <v>0</v>
      </c>
      <c r="K109" s="850">
        <v>3164406</v>
      </c>
      <c r="L109" s="850">
        <v>211494</v>
      </c>
      <c r="M109">
        <f t="shared" si="9"/>
        <v>12</v>
      </c>
      <c r="N109" s="823">
        <f t="shared" si="8"/>
        <v>843975</v>
      </c>
      <c r="O109" s="821">
        <f t="shared" si="10"/>
        <v>0</v>
      </c>
      <c r="P109">
        <v>843975</v>
      </c>
      <c r="Q109" s="823">
        <f t="shared" si="11"/>
        <v>0</v>
      </c>
    </row>
    <row r="110" spans="1:17">
      <c r="A110" s="849" t="s">
        <v>3148</v>
      </c>
      <c r="B110" s="851" t="s">
        <v>3474</v>
      </c>
      <c r="C110" s="849" t="s">
        <v>3473</v>
      </c>
      <c r="D110" s="850">
        <v>198000</v>
      </c>
      <c r="E110" s="850">
        <v>0</v>
      </c>
      <c r="F110" s="850">
        <v>0</v>
      </c>
      <c r="G110" s="850">
        <v>198000</v>
      </c>
      <c r="H110" s="850">
        <v>135625</v>
      </c>
      <c r="I110" s="850">
        <v>49500</v>
      </c>
      <c r="J110" s="850">
        <v>0</v>
      </c>
      <c r="K110" s="850">
        <v>185125</v>
      </c>
      <c r="L110" s="850">
        <v>12875</v>
      </c>
      <c r="M110">
        <f t="shared" si="9"/>
        <v>12</v>
      </c>
      <c r="N110" s="823">
        <f t="shared" si="8"/>
        <v>49500</v>
      </c>
      <c r="O110" s="821">
        <f t="shared" si="10"/>
        <v>0</v>
      </c>
      <c r="P110">
        <v>49500</v>
      </c>
      <c r="Q110" s="823">
        <f t="shared" si="11"/>
        <v>0</v>
      </c>
    </row>
    <row r="111" spans="1:17">
      <c r="A111" s="849" t="s">
        <v>3148</v>
      </c>
      <c r="B111" s="851" t="s">
        <v>3475</v>
      </c>
      <c r="C111" s="849" t="s">
        <v>3448</v>
      </c>
      <c r="D111" s="850">
        <v>1899997</v>
      </c>
      <c r="E111" s="850">
        <v>0</v>
      </c>
      <c r="F111" s="850">
        <v>0</v>
      </c>
      <c r="G111" s="850">
        <v>1899997</v>
      </c>
      <c r="H111" s="850">
        <v>1266165</v>
      </c>
      <c r="I111" s="850">
        <v>474999</v>
      </c>
      <c r="J111" s="850">
        <v>0</v>
      </c>
      <c r="K111" s="850">
        <v>1741164</v>
      </c>
      <c r="L111" s="850">
        <v>158833</v>
      </c>
      <c r="M111">
        <f t="shared" si="9"/>
        <v>12</v>
      </c>
      <c r="N111" s="823">
        <f t="shared" si="8"/>
        <v>474999.25</v>
      </c>
      <c r="O111" s="862">
        <f t="shared" si="10"/>
        <v>0.25</v>
      </c>
      <c r="P111">
        <v>474999</v>
      </c>
      <c r="Q111" s="823">
        <f t="shared" si="11"/>
        <v>0.25</v>
      </c>
    </row>
    <row r="112" spans="1:17">
      <c r="A112" s="849" t="s">
        <v>3148</v>
      </c>
      <c r="B112" s="851" t="s">
        <v>3477</v>
      </c>
      <c r="C112" s="849" t="s">
        <v>3476</v>
      </c>
      <c r="D112" s="850">
        <v>370000</v>
      </c>
      <c r="E112" s="850">
        <v>0</v>
      </c>
      <c r="F112" s="850">
        <v>0</v>
      </c>
      <c r="G112" s="850">
        <v>370000</v>
      </c>
      <c r="H112" s="850">
        <v>161438</v>
      </c>
      <c r="I112" s="850">
        <v>92500</v>
      </c>
      <c r="J112" s="850">
        <v>0</v>
      </c>
      <c r="K112" s="850">
        <v>253938</v>
      </c>
      <c r="L112" s="850">
        <v>116062</v>
      </c>
      <c r="M112">
        <f t="shared" si="9"/>
        <v>12</v>
      </c>
      <c r="N112" s="823">
        <f t="shared" si="8"/>
        <v>92500</v>
      </c>
      <c r="O112" s="821">
        <f t="shared" si="10"/>
        <v>0</v>
      </c>
      <c r="P112">
        <v>92500</v>
      </c>
      <c r="Q112" s="823">
        <f t="shared" si="11"/>
        <v>0</v>
      </c>
    </row>
    <row r="113" spans="1:17">
      <c r="A113" s="849" t="s">
        <v>3148</v>
      </c>
      <c r="B113" s="851" t="s">
        <v>3479</v>
      </c>
      <c r="C113" s="849" t="s">
        <v>3478</v>
      </c>
      <c r="D113" s="850">
        <v>1071400</v>
      </c>
      <c r="E113" s="850">
        <v>0</v>
      </c>
      <c r="F113" s="850">
        <v>0</v>
      </c>
      <c r="G113" s="850">
        <v>1071400</v>
      </c>
      <c r="H113" s="850">
        <v>423700</v>
      </c>
      <c r="I113" s="850">
        <v>267850</v>
      </c>
      <c r="J113" s="850">
        <v>0</v>
      </c>
      <c r="K113" s="850">
        <v>691550</v>
      </c>
      <c r="L113" s="850">
        <v>379850</v>
      </c>
      <c r="M113">
        <f t="shared" si="9"/>
        <v>12</v>
      </c>
      <c r="N113" s="823">
        <f t="shared" si="8"/>
        <v>267850</v>
      </c>
      <c r="O113" s="821">
        <f t="shared" si="10"/>
        <v>0</v>
      </c>
      <c r="P113">
        <v>267850</v>
      </c>
      <c r="Q113" s="823">
        <f t="shared" si="11"/>
        <v>0</v>
      </c>
    </row>
    <row r="114" spans="1:17">
      <c r="A114" s="849" t="s">
        <v>3148</v>
      </c>
      <c r="B114" s="851" t="s">
        <v>3480</v>
      </c>
      <c r="C114" s="849" t="s">
        <v>3419</v>
      </c>
      <c r="D114" s="850">
        <v>2483800</v>
      </c>
      <c r="E114" s="850">
        <v>0</v>
      </c>
      <c r="F114" s="850">
        <v>0</v>
      </c>
      <c r="G114" s="850">
        <v>2483800</v>
      </c>
      <c r="H114" s="850">
        <v>827600</v>
      </c>
      <c r="I114" s="850">
        <v>620950</v>
      </c>
      <c r="J114" s="850">
        <v>0</v>
      </c>
      <c r="K114" s="850">
        <v>1448550</v>
      </c>
      <c r="L114" s="850">
        <v>1035250</v>
      </c>
      <c r="M114">
        <f t="shared" si="9"/>
        <v>12</v>
      </c>
      <c r="N114" s="823">
        <f t="shared" si="8"/>
        <v>620950</v>
      </c>
      <c r="O114" s="821">
        <f t="shared" si="10"/>
        <v>0</v>
      </c>
      <c r="P114">
        <v>620950</v>
      </c>
      <c r="Q114" s="823">
        <f t="shared" si="11"/>
        <v>0</v>
      </c>
    </row>
    <row r="115" spans="1:17">
      <c r="A115" s="849" t="s">
        <v>3148</v>
      </c>
      <c r="B115" s="851" t="s">
        <v>3482</v>
      </c>
      <c r="C115" s="849" t="s">
        <v>3481</v>
      </c>
      <c r="D115" s="850">
        <v>8039900</v>
      </c>
      <c r="E115" s="850">
        <v>0</v>
      </c>
      <c r="F115" s="850">
        <v>0</v>
      </c>
      <c r="G115" s="850">
        <v>8039900</v>
      </c>
      <c r="H115" s="850">
        <v>1674771</v>
      </c>
      <c r="I115" s="850">
        <v>2009975</v>
      </c>
      <c r="J115" s="850">
        <v>0</v>
      </c>
      <c r="K115" s="850">
        <v>3684746</v>
      </c>
      <c r="L115" s="850">
        <v>4355154</v>
      </c>
      <c r="M115">
        <f t="shared" si="9"/>
        <v>12</v>
      </c>
      <c r="N115" s="823">
        <f t="shared" si="8"/>
        <v>2009975</v>
      </c>
      <c r="O115" s="821">
        <f t="shared" si="10"/>
        <v>0</v>
      </c>
      <c r="P115">
        <v>2009975</v>
      </c>
      <c r="Q115" s="823">
        <f t="shared" si="11"/>
        <v>0</v>
      </c>
    </row>
    <row r="116" spans="1:17">
      <c r="A116" s="849" t="s">
        <v>3148</v>
      </c>
      <c r="B116" s="851" t="s">
        <v>3484</v>
      </c>
      <c r="C116" s="849" t="s">
        <v>3483</v>
      </c>
      <c r="D116" s="850">
        <v>6517500</v>
      </c>
      <c r="E116" s="850">
        <v>0</v>
      </c>
      <c r="F116" s="850">
        <v>0</v>
      </c>
      <c r="G116" s="850">
        <v>6517500</v>
      </c>
      <c r="H116" s="850">
        <v>1086083</v>
      </c>
      <c r="I116" s="850">
        <v>1629375</v>
      </c>
      <c r="J116" s="850">
        <v>0</v>
      </c>
      <c r="K116" s="850">
        <v>2715458</v>
      </c>
      <c r="L116" s="850">
        <v>3802042</v>
      </c>
      <c r="M116">
        <f t="shared" si="9"/>
        <v>12</v>
      </c>
      <c r="N116" s="823">
        <f t="shared" si="8"/>
        <v>1629375</v>
      </c>
      <c r="O116" s="821">
        <f t="shared" si="10"/>
        <v>0</v>
      </c>
      <c r="P116">
        <v>1629375</v>
      </c>
      <c r="Q116" s="823">
        <f t="shared" si="11"/>
        <v>0</v>
      </c>
    </row>
    <row r="117" spans="1:17">
      <c r="A117" s="849" t="s">
        <v>3148</v>
      </c>
      <c r="B117" s="851" t="s">
        <v>3486</v>
      </c>
      <c r="C117" s="849" t="s">
        <v>3485</v>
      </c>
      <c r="D117" s="850">
        <v>16000000</v>
      </c>
      <c r="E117" s="850">
        <v>0</v>
      </c>
      <c r="F117" s="850">
        <v>0</v>
      </c>
      <c r="G117" s="850">
        <v>16000000</v>
      </c>
      <c r="H117" s="850">
        <v>8042692</v>
      </c>
      <c r="I117" s="850">
        <v>4000000</v>
      </c>
      <c r="J117" s="850">
        <v>0</v>
      </c>
      <c r="K117" s="850">
        <v>12042692</v>
      </c>
      <c r="L117" s="850">
        <v>3957308</v>
      </c>
      <c r="M117">
        <f t="shared" si="9"/>
        <v>12</v>
      </c>
      <c r="N117" s="823">
        <f t="shared" si="8"/>
        <v>4000000</v>
      </c>
      <c r="O117" s="821">
        <f t="shared" si="10"/>
        <v>0</v>
      </c>
      <c r="P117">
        <v>4000000</v>
      </c>
      <c r="Q117" s="823">
        <f t="shared" si="11"/>
        <v>0</v>
      </c>
    </row>
    <row r="118" spans="1:17">
      <c r="A118" s="849" t="s">
        <v>3148</v>
      </c>
      <c r="B118" s="851" t="s">
        <v>3486</v>
      </c>
      <c r="C118" s="849" t="s">
        <v>3487</v>
      </c>
      <c r="D118" s="850">
        <v>618200</v>
      </c>
      <c r="E118" s="850">
        <v>0</v>
      </c>
      <c r="F118" s="850">
        <v>0</v>
      </c>
      <c r="G118" s="850">
        <v>618200</v>
      </c>
      <c r="H118" s="850">
        <v>90008</v>
      </c>
      <c r="I118" s="850">
        <v>154550</v>
      </c>
      <c r="J118" s="850">
        <v>0</v>
      </c>
      <c r="K118" s="850">
        <v>244558</v>
      </c>
      <c r="L118" s="850">
        <v>373642</v>
      </c>
      <c r="M118">
        <f t="shared" si="9"/>
        <v>12</v>
      </c>
      <c r="N118" s="823">
        <f t="shared" si="8"/>
        <v>154550</v>
      </c>
      <c r="O118" s="821">
        <f t="shared" si="10"/>
        <v>0</v>
      </c>
      <c r="P118">
        <v>154550</v>
      </c>
      <c r="Q118" s="823">
        <f t="shared" si="11"/>
        <v>0</v>
      </c>
    </row>
    <row r="119" spans="1:17">
      <c r="A119" s="849" t="s">
        <v>3148</v>
      </c>
      <c r="B119" s="851" t="s">
        <v>3489</v>
      </c>
      <c r="C119" s="849" t="s">
        <v>3488</v>
      </c>
      <c r="D119" s="850">
        <v>0</v>
      </c>
      <c r="E119" s="850">
        <v>1084600</v>
      </c>
      <c r="F119" s="850">
        <v>0</v>
      </c>
      <c r="G119" s="850">
        <v>1084600</v>
      </c>
      <c r="H119" s="850">
        <v>0</v>
      </c>
      <c r="I119" s="850">
        <v>248554</v>
      </c>
      <c r="J119" s="850">
        <v>0</v>
      </c>
      <c r="K119" s="850">
        <v>248554</v>
      </c>
      <c r="L119" s="850">
        <v>836046</v>
      </c>
      <c r="M119">
        <f t="shared" si="9"/>
        <v>11</v>
      </c>
      <c r="N119" s="823">
        <f t="shared" si="8"/>
        <v>248554.16666666666</v>
      </c>
      <c r="O119" s="821">
        <f t="shared" si="10"/>
        <v>0.16666666665696539</v>
      </c>
      <c r="P119">
        <v>248554</v>
      </c>
      <c r="Q119" s="823">
        <f t="shared" si="11"/>
        <v>0.16666666665696539</v>
      </c>
    </row>
    <row r="120" spans="1:17">
      <c r="A120" s="849" t="s">
        <v>3492</v>
      </c>
      <c r="B120" s="851"/>
      <c r="C120" s="849"/>
      <c r="D120" s="850">
        <v>110502779</v>
      </c>
      <c r="E120" s="850">
        <v>1084600</v>
      </c>
      <c r="F120" s="850">
        <v>50546700</v>
      </c>
      <c r="G120" s="850">
        <v>61040679</v>
      </c>
      <c r="H120" s="850">
        <v>83004933</v>
      </c>
      <c r="I120" s="850">
        <v>13102299</v>
      </c>
      <c r="J120" s="850">
        <v>50546700</v>
      </c>
      <c r="K120" s="850">
        <v>45560532</v>
      </c>
      <c r="L120" s="850">
        <v>15480147</v>
      </c>
    </row>
    <row r="121" spans="1:17">
      <c r="A121" s="849"/>
      <c r="B121" s="851"/>
      <c r="C121" s="849"/>
      <c r="D121" s="850">
        <v>110502779</v>
      </c>
      <c r="E121" s="850">
        <v>1084600</v>
      </c>
      <c r="F121" s="850">
        <v>50546700</v>
      </c>
      <c r="G121" s="850">
        <v>61040679</v>
      </c>
      <c r="H121" s="850">
        <v>83004933</v>
      </c>
      <c r="I121" s="850">
        <v>13102299</v>
      </c>
      <c r="J121" s="850">
        <v>50546700</v>
      </c>
      <c r="K121" s="850">
        <v>45560532</v>
      </c>
      <c r="L121" s="850">
        <v>15480147</v>
      </c>
    </row>
    <row r="122" spans="1:17">
      <c r="A122" s="849" t="s">
        <v>3148</v>
      </c>
      <c r="B122" s="851" t="s">
        <v>3491</v>
      </c>
      <c r="C122" s="849" t="s">
        <v>3490</v>
      </c>
      <c r="D122" s="850">
        <v>15400000</v>
      </c>
      <c r="E122" s="850">
        <v>0</v>
      </c>
      <c r="F122" s="850">
        <v>15400000</v>
      </c>
      <c r="G122" s="850">
        <v>0</v>
      </c>
      <c r="H122" s="850">
        <v>15400000</v>
      </c>
      <c r="I122" s="850">
        <v>0</v>
      </c>
      <c r="J122" s="850">
        <v>15400000</v>
      </c>
      <c r="K122" s="850">
        <v>0</v>
      </c>
      <c r="L122" s="850">
        <v>0</v>
      </c>
      <c r="M122">
        <f t="shared" ref="M122" si="12">IF(DATEDIF(B122,$M$8,"m")+1&gt;12,12,DATEDIF(B122,$M$8,"m")+1)</f>
        <v>12</v>
      </c>
      <c r="N122" s="823">
        <f t="shared" ref="N122" si="13">G122*$C$7/12*M122</f>
        <v>0</v>
      </c>
      <c r="O122" s="821">
        <f t="shared" ref="O122" si="14">N122-I122</f>
        <v>0</v>
      </c>
      <c r="P122">
        <v>0</v>
      </c>
      <c r="Q122" s="823">
        <f t="shared" si="11"/>
        <v>0</v>
      </c>
    </row>
    <row r="123" spans="1:17">
      <c r="A123" s="849" t="s">
        <v>3492</v>
      </c>
      <c r="B123" s="851"/>
      <c r="C123" s="849"/>
      <c r="D123" s="850">
        <v>15400000</v>
      </c>
      <c r="E123" s="850">
        <v>0</v>
      </c>
      <c r="F123" s="850">
        <v>15400000</v>
      </c>
      <c r="G123" s="850">
        <v>0</v>
      </c>
      <c r="H123" s="850">
        <v>15400000</v>
      </c>
      <c r="I123" s="850">
        <v>0</v>
      </c>
      <c r="J123" s="850">
        <v>15400000</v>
      </c>
      <c r="K123" s="850">
        <v>0</v>
      </c>
      <c r="L123" s="850">
        <v>0</v>
      </c>
    </row>
    <row r="124" spans="1:17">
      <c r="A124" s="849"/>
      <c r="B124" s="851"/>
      <c r="C124" s="849"/>
      <c r="D124" s="850">
        <v>15400000</v>
      </c>
      <c r="E124" s="850">
        <v>0</v>
      </c>
      <c r="F124" s="850">
        <v>15400000</v>
      </c>
      <c r="G124" s="850">
        <v>0</v>
      </c>
      <c r="H124" s="850">
        <v>15400000</v>
      </c>
      <c r="I124" s="850">
        <v>0</v>
      </c>
      <c r="J124" s="850">
        <v>15400000</v>
      </c>
      <c r="K124" s="850">
        <v>0</v>
      </c>
      <c r="L124" s="850">
        <v>0</v>
      </c>
    </row>
    <row r="125" spans="1:17">
      <c r="A125" s="852"/>
      <c r="B125" s="854"/>
      <c r="C125" s="852"/>
      <c r="D125" s="853">
        <v>125902779</v>
      </c>
      <c r="E125" s="853">
        <v>1084600</v>
      </c>
      <c r="F125" s="853">
        <v>65946700</v>
      </c>
      <c r="G125" s="853">
        <v>61040679</v>
      </c>
      <c r="H125" s="853">
        <v>98404933</v>
      </c>
      <c r="I125" s="853">
        <v>13102299</v>
      </c>
      <c r="J125" s="853">
        <v>65946700</v>
      </c>
      <c r="K125" s="853">
        <v>45560532</v>
      </c>
      <c r="L125" s="853">
        <v>15480147</v>
      </c>
      <c r="O125" s="821">
        <f>SUM(O23:O122)</f>
        <v>47379.416666666657</v>
      </c>
    </row>
    <row r="126" spans="1:17">
      <c r="L126" s="823">
        <f>L125-FS_worksheet!G48-FS_worksheet!G49</f>
        <v>0</v>
      </c>
    </row>
    <row r="128" spans="1:17" ht="17.25" thickBot="1"/>
    <row r="129" spans="3:10">
      <c r="C129" s="950" t="s">
        <v>4802</v>
      </c>
      <c r="D129" s="951"/>
      <c r="E129" s="951"/>
      <c r="F129" s="951"/>
      <c r="G129" s="951"/>
      <c r="H129" s="951"/>
      <c r="I129" s="951"/>
      <c r="J129" s="952"/>
    </row>
    <row r="130" spans="3:10">
      <c r="C130" s="953" t="s">
        <v>4811</v>
      </c>
      <c r="D130" s="954" t="s">
        <v>4806</v>
      </c>
      <c r="E130" s="954"/>
      <c r="F130" s="955">
        <f>-O11-O12-O13-O17</f>
        <v>9149582</v>
      </c>
      <c r="G130" s="954"/>
      <c r="H130" s="954" t="s">
        <v>4804</v>
      </c>
      <c r="I130" s="954"/>
      <c r="J130" s="956">
        <f>F130</f>
        <v>9149582</v>
      </c>
    </row>
    <row r="131" spans="3:10">
      <c r="C131" s="953"/>
      <c r="D131" s="954"/>
      <c r="E131" s="954"/>
      <c r="F131" s="954"/>
      <c r="G131" s="954"/>
      <c r="H131" s="954"/>
      <c r="I131" s="954"/>
      <c r="J131" s="957"/>
    </row>
    <row r="132" spans="3:10">
      <c r="C132" s="953" t="s">
        <v>4809</v>
      </c>
      <c r="D132" s="954" t="s">
        <v>4805</v>
      </c>
      <c r="E132" s="954"/>
      <c r="F132" s="958">
        <v>49500</v>
      </c>
      <c r="G132" s="954"/>
      <c r="H132" s="954" t="s">
        <v>3269</v>
      </c>
      <c r="I132" s="954"/>
      <c r="J132" s="959">
        <v>1500000</v>
      </c>
    </row>
    <row r="133" spans="3:10" ht="17.25" thickBot="1">
      <c r="C133" s="960"/>
      <c r="D133" s="961" t="s">
        <v>4807</v>
      </c>
      <c r="E133" s="961"/>
      <c r="F133" s="962">
        <v>1500000</v>
      </c>
      <c r="G133" s="961"/>
      <c r="H133" s="961" t="s">
        <v>4803</v>
      </c>
      <c r="I133" s="961"/>
      <c r="J133" s="963">
        <v>49500</v>
      </c>
    </row>
  </sheetData>
  <mergeCells count="5">
    <mergeCell ref="G1:H1"/>
    <mergeCell ref="I1:J1"/>
    <mergeCell ref="G2:H3"/>
    <mergeCell ref="I2:J3"/>
    <mergeCell ref="K2:K3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F0"/>
  </sheetPr>
  <dimension ref="A1:K24"/>
  <sheetViews>
    <sheetView topLeftCell="A7" workbookViewId="0">
      <selection activeCell="C70" sqref="C70"/>
    </sheetView>
  </sheetViews>
  <sheetFormatPr defaultRowHeight="16.5"/>
  <cols>
    <col min="1" max="1" width="5.125" customWidth="1"/>
    <col min="2" max="2" width="13.875" bestFit="1" customWidth="1"/>
    <col min="3" max="3" width="12.25" bestFit="1" customWidth="1"/>
    <col min="4" max="4" width="24.875" bestFit="1" customWidth="1"/>
    <col min="5" max="5" width="12.625" bestFit="1" customWidth="1"/>
    <col min="6" max="6" width="13.125" bestFit="1" customWidth="1"/>
    <col min="7" max="7" width="10.5" bestFit="1" customWidth="1"/>
    <col min="8" max="8" width="13.125" bestFit="1" customWidth="1"/>
    <col min="9" max="10" width="10.5" bestFit="1" customWidth="1"/>
    <col min="11" max="11" width="8" bestFit="1" customWidth="1"/>
  </cols>
  <sheetData>
    <row r="1" spans="1:11">
      <c r="A1" s="371" t="str">
        <f>기본사항!$C$2</f>
        <v>(재)한국여성재단</v>
      </c>
      <c r="B1" s="809"/>
      <c r="C1" s="809"/>
      <c r="D1" s="809"/>
      <c r="E1" s="1253" t="s">
        <v>112</v>
      </c>
      <c r="F1" s="1254"/>
      <c r="G1" s="1281" t="s">
        <v>0</v>
      </c>
      <c r="H1" s="1281"/>
      <c r="I1" s="460" t="s">
        <v>1</v>
      </c>
    </row>
    <row r="2" spans="1:11">
      <c r="A2" s="808" t="s">
        <v>3173</v>
      </c>
      <c r="B2" s="809"/>
      <c r="C2" s="809"/>
      <c r="D2" s="809"/>
      <c r="E2" s="1255" t="s">
        <v>3174</v>
      </c>
      <c r="F2" s="1256"/>
      <c r="G2" s="1198">
        <f>기본사항!$C$14</f>
        <v>40563</v>
      </c>
      <c r="H2" s="1198"/>
      <c r="I2" s="1276" t="str">
        <f>기본사항!$C$17</f>
        <v>Kbj</v>
      </c>
    </row>
    <row r="3" spans="1:11">
      <c r="A3" s="375" t="str">
        <f>기본사항!$C$9</f>
        <v>A : 12-31-2011</v>
      </c>
      <c r="B3" s="809"/>
      <c r="C3" s="809"/>
      <c r="D3" s="809"/>
      <c r="E3" s="1257"/>
      <c r="F3" s="1258"/>
      <c r="G3" s="1198"/>
      <c r="H3" s="1198"/>
      <c r="I3" s="1264"/>
    </row>
    <row r="6" spans="1:11" s="935" customFormat="1">
      <c r="A6" s="928" t="s">
        <v>4782</v>
      </c>
      <c r="B6" s="929"/>
      <c r="C6" s="929"/>
      <c r="D6" s="929"/>
      <c r="E6" s="930"/>
      <c r="F6" s="931"/>
      <c r="G6" s="932"/>
      <c r="H6" s="933"/>
      <c r="I6" s="933"/>
      <c r="J6" s="933"/>
      <c r="K6" s="933"/>
    </row>
    <row r="7" spans="1:11" s="935" customFormat="1">
      <c r="A7" s="934" t="s">
        <v>4790</v>
      </c>
      <c r="B7" s="929"/>
      <c r="C7" s="929"/>
      <c r="D7" s="929"/>
      <c r="E7" s="930"/>
      <c r="F7" s="931"/>
      <c r="G7" s="932"/>
      <c r="H7" s="933"/>
      <c r="I7" s="933"/>
      <c r="J7" s="933"/>
      <c r="K7" s="933"/>
    </row>
    <row r="8" spans="1:11" s="935" customFormat="1">
      <c r="A8" s="934" t="s">
        <v>4791</v>
      </c>
      <c r="B8" s="929"/>
      <c r="C8" s="929"/>
      <c r="D8" s="929"/>
      <c r="E8" s="930"/>
      <c r="F8" s="931"/>
      <c r="G8" s="932"/>
      <c r="H8" s="933"/>
      <c r="I8" s="933"/>
      <c r="J8" s="933"/>
      <c r="K8" s="933"/>
    </row>
    <row r="9" spans="1:11" s="935" customFormat="1">
      <c r="A9" s="936"/>
      <c r="B9" s="931"/>
      <c r="C9" s="931"/>
      <c r="D9" s="931"/>
      <c r="E9" s="931"/>
      <c r="F9" s="931"/>
      <c r="G9" s="932"/>
      <c r="H9" s="933"/>
      <c r="I9" s="933"/>
      <c r="J9" s="933"/>
      <c r="K9" s="933"/>
    </row>
    <row r="10" spans="1:11" s="935" customFormat="1">
      <c r="A10" s="936"/>
      <c r="B10" s="937" t="s">
        <v>4792</v>
      </c>
      <c r="C10" s="937" t="s">
        <v>4783</v>
      </c>
      <c r="D10" s="937" t="s">
        <v>4784</v>
      </c>
      <c r="E10" s="937" t="s">
        <v>4785</v>
      </c>
      <c r="F10" s="938" t="s">
        <v>4793</v>
      </c>
      <c r="G10" s="933"/>
      <c r="H10" s="932"/>
      <c r="I10" s="933"/>
      <c r="J10" s="933"/>
      <c r="K10" s="933"/>
    </row>
    <row r="11" spans="1:11" s="935" customFormat="1">
      <c r="A11" s="936"/>
      <c r="B11" s="939" t="s">
        <v>4800</v>
      </c>
      <c r="C11" s="939" t="s">
        <v>3324</v>
      </c>
      <c r="D11" s="940" t="s">
        <v>3323</v>
      </c>
      <c r="E11" s="941">
        <v>3000000</v>
      </c>
      <c r="F11" s="942" t="s">
        <v>4813</v>
      </c>
      <c r="G11" s="933"/>
      <c r="H11" s="932"/>
      <c r="I11" s="933"/>
      <c r="J11" s="933"/>
      <c r="K11" s="933"/>
    </row>
    <row r="12" spans="1:11" s="935" customFormat="1">
      <c r="A12" s="936"/>
      <c r="B12" s="939" t="s">
        <v>4800</v>
      </c>
      <c r="C12" s="939" t="s">
        <v>3328</v>
      </c>
      <c r="D12" s="940" t="s">
        <v>3327</v>
      </c>
      <c r="E12" s="941">
        <v>2078000</v>
      </c>
      <c r="F12" s="942" t="s">
        <v>4812</v>
      </c>
      <c r="G12" s="933"/>
      <c r="H12" s="932"/>
      <c r="I12" s="933"/>
      <c r="J12" s="933"/>
      <c r="K12" s="933"/>
    </row>
    <row r="13" spans="1:11" s="935" customFormat="1">
      <c r="A13" s="936"/>
      <c r="B13" s="939" t="s">
        <v>4801</v>
      </c>
      <c r="C13" s="939" t="s">
        <v>3489</v>
      </c>
      <c r="D13" s="940" t="s">
        <v>3488</v>
      </c>
      <c r="E13" s="941">
        <v>1084600</v>
      </c>
      <c r="F13" s="942" t="s">
        <v>4812</v>
      </c>
      <c r="G13" s="933"/>
      <c r="H13" s="932"/>
      <c r="I13" s="933"/>
      <c r="J13" s="933"/>
      <c r="K13" s="933"/>
    </row>
    <row r="14" spans="1:11" s="935" customFormat="1">
      <c r="A14" s="936"/>
      <c r="B14" s="1285" t="s">
        <v>4794</v>
      </c>
      <c r="C14" s="1286"/>
      <c r="D14" s="1287"/>
      <c r="E14" s="941">
        <f>SUM(E11:E13)</f>
        <v>6162600</v>
      </c>
      <c r="F14" s="938"/>
      <c r="G14" s="933"/>
      <c r="H14" s="932"/>
      <c r="I14" s="933"/>
      <c r="J14" s="933"/>
      <c r="K14" s="933"/>
    </row>
    <row r="15" spans="1:11" s="935" customFormat="1">
      <c r="A15" s="936"/>
      <c r="B15" s="943"/>
      <c r="C15" s="944"/>
      <c r="D15" s="945"/>
      <c r="E15" s="930"/>
      <c r="F15" s="931"/>
      <c r="G15" s="932"/>
      <c r="H15" s="933"/>
      <c r="I15" s="933"/>
      <c r="J15" s="933"/>
      <c r="K15" s="933"/>
    </row>
    <row r="16" spans="1:11" s="935" customFormat="1">
      <c r="A16" s="936"/>
      <c r="B16" s="934" t="s">
        <v>4786</v>
      </c>
      <c r="C16" s="946">
        <f>('G100'!D34)-1500000</f>
        <v>9042600</v>
      </c>
      <c r="D16" s="945"/>
      <c r="E16" s="930"/>
      <c r="F16" s="931"/>
      <c r="G16" s="932"/>
      <c r="H16" s="933"/>
      <c r="I16" s="933"/>
      <c r="J16" s="933"/>
      <c r="K16" s="933"/>
    </row>
    <row r="17" spans="1:11" s="935" customFormat="1">
      <c r="A17" s="936"/>
      <c r="B17" s="934" t="s">
        <v>4787</v>
      </c>
      <c r="C17" s="946">
        <f>E14</f>
        <v>6162600</v>
      </c>
      <c r="D17" s="945"/>
      <c r="E17" s="930"/>
      <c r="F17" s="931"/>
      <c r="G17" s="932"/>
      <c r="H17" s="933"/>
      <c r="I17" s="933"/>
      <c r="J17" s="933"/>
      <c r="K17" s="933"/>
    </row>
    <row r="18" spans="1:11" s="935" customFormat="1" ht="17.25" thickBot="1">
      <c r="A18" s="936"/>
      <c r="B18" s="934" t="s">
        <v>4788</v>
      </c>
      <c r="C18" s="947">
        <f>C17/C16</f>
        <v>0.68150753101983941</v>
      </c>
      <c r="D18" s="945"/>
      <c r="E18" s="930"/>
      <c r="F18" s="931"/>
      <c r="G18" s="932"/>
      <c r="H18" s="933"/>
      <c r="I18" s="933"/>
      <c r="J18" s="933"/>
      <c r="K18" s="933"/>
    </row>
    <row r="19" spans="1:11" s="935" customFormat="1" ht="17.25" thickTop="1">
      <c r="A19" s="936"/>
      <c r="B19" s="943"/>
      <c r="C19" s="944"/>
      <c r="D19" s="945"/>
      <c r="E19" s="930"/>
      <c r="F19" s="931"/>
      <c r="G19" s="932"/>
      <c r="H19" s="933"/>
      <c r="I19" s="933"/>
      <c r="J19" s="933"/>
      <c r="K19" s="933"/>
    </row>
    <row r="20" spans="1:11" s="935" customFormat="1">
      <c r="A20" s="934" t="s">
        <v>4795</v>
      </c>
      <c r="B20" s="929"/>
      <c r="C20" s="929"/>
      <c r="D20" s="929"/>
      <c r="E20" s="948" t="s">
        <v>4796</v>
      </c>
      <c r="F20" s="931"/>
      <c r="G20" s="932"/>
      <c r="H20" s="933"/>
      <c r="I20" s="933"/>
      <c r="J20" s="933"/>
      <c r="K20" s="933"/>
    </row>
    <row r="21" spans="1:11" s="935" customFormat="1">
      <c r="A21" s="934" t="s">
        <v>4789</v>
      </c>
      <c r="B21" s="929"/>
      <c r="C21" s="929"/>
      <c r="D21" s="929"/>
      <c r="E21" s="929"/>
      <c r="F21" s="931"/>
      <c r="G21" s="932"/>
      <c r="H21" s="933"/>
      <c r="I21" s="933"/>
      <c r="J21" s="933"/>
      <c r="K21" s="933"/>
    </row>
    <row r="22" spans="1:11" s="935" customFormat="1">
      <c r="A22" s="934" t="s">
        <v>4797</v>
      </c>
      <c r="B22" s="929"/>
      <c r="C22" s="929"/>
      <c r="D22" s="929"/>
      <c r="E22" s="931"/>
      <c r="F22" s="931"/>
      <c r="G22" s="933"/>
      <c r="H22" s="933"/>
      <c r="I22" s="933"/>
      <c r="J22" s="933"/>
      <c r="K22" s="933"/>
    </row>
    <row r="23" spans="1:11" s="935" customFormat="1">
      <c r="A23" s="929"/>
      <c r="B23" s="929"/>
      <c r="C23" s="949"/>
      <c r="D23" s="949"/>
      <c r="E23" s="931"/>
      <c r="F23" s="931"/>
      <c r="G23" s="933"/>
      <c r="H23" s="933"/>
      <c r="I23" s="933"/>
      <c r="J23" s="933"/>
      <c r="K23" s="933"/>
    </row>
    <row r="24" spans="1:11" s="935" customFormat="1">
      <c r="A24" s="934" t="s">
        <v>4798</v>
      </c>
      <c r="B24" s="929"/>
      <c r="C24" s="949"/>
      <c r="D24" s="949"/>
      <c r="E24" s="931"/>
      <c r="F24" s="931"/>
      <c r="G24" s="933"/>
      <c r="H24" s="933"/>
      <c r="I24" s="933"/>
      <c r="J24" s="933"/>
      <c r="K24" s="933"/>
    </row>
  </sheetData>
  <mergeCells count="6">
    <mergeCell ref="I2:I3"/>
    <mergeCell ref="B14:D14"/>
    <mergeCell ref="E1:F1"/>
    <mergeCell ref="G1:H1"/>
    <mergeCell ref="E2:F3"/>
    <mergeCell ref="G2:H3"/>
  </mergeCells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</sheetPr>
  <dimension ref="A1:P42"/>
  <sheetViews>
    <sheetView topLeftCell="A4" zoomScaleSheetLayoutView="85" workbookViewId="0">
      <selection activeCell="C70" sqref="C70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TableofContents!$D$17</f>
        <v>기타비유동자산</v>
      </c>
      <c r="B2" s="449"/>
      <c r="C2" s="449"/>
      <c r="D2" s="449"/>
      <c r="E2" s="449"/>
      <c r="F2" s="449"/>
      <c r="G2" s="450"/>
      <c r="H2" s="1255" t="str">
        <f>"DIR - "&amp;TableofContents!$B$17</f>
        <v>DIR - I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1853</v>
      </c>
      <c r="N16" s="247" t="s">
        <v>1393</v>
      </c>
    </row>
    <row r="17" spans="1:14" s="225" customFormat="1" ht="15.75" customHeight="1">
      <c r="A17" s="224"/>
      <c r="B17" s="224"/>
      <c r="C17" s="224"/>
      <c r="D17" s="224" t="s">
        <v>1854</v>
      </c>
    </row>
    <row r="18" spans="1:14" s="225" customFormat="1" ht="15.75" customHeight="1">
      <c r="A18" s="224"/>
      <c r="B18" s="224"/>
      <c r="C18" s="224"/>
      <c r="D18" s="224" t="s">
        <v>1736</v>
      </c>
    </row>
    <row r="19" spans="1:14" s="225" customFormat="1" ht="15.75" customHeight="1">
      <c r="A19" s="224"/>
      <c r="B19" s="224"/>
      <c r="C19" s="224"/>
    </row>
    <row r="20" spans="1:14" s="225" customFormat="1" ht="15.75" customHeight="1">
      <c r="A20" s="224"/>
      <c r="B20" s="224" t="s">
        <v>1069</v>
      </c>
      <c r="C20" s="224" t="s">
        <v>1855</v>
      </c>
      <c r="N20" s="247" t="s">
        <v>1307</v>
      </c>
    </row>
    <row r="21" spans="1:14" s="225" customFormat="1" ht="15.75" customHeight="1">
      <c r="A21" s="224"/>
      <c r="D21" s="471" t="s">
        <v>1856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A22" s="224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A23" s="224"/>
      <c r="B23" s="224" t="s">
        <v>1070</v>
      </c>
      <c r="C23" s="224" t="s">
        <v>1860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47" t="s">
        <v>1592</v>
      </c>
    </row>
    <row r="24" spans="1:14" s="225" customFormat="1" ht="15.75" customHeight="1">
      <c r="B24" s="224"/>
      <c r="C24" s="224"/>
      <c r="D24" s="224" t="s">
        <v>1857</v>
      </c>
    </row>
    <row r="25" spans="1:14" s="225" customFormat="1" ht="15.75" customHeight="1">
      <c r="B25" s="224"/>
      <c r="C25" s="224"/>
      <c r="D25" s="224" t="s">
        <v>1858</v>
      </c>
    </row>
    <row r="26" spans="1:14" s="225" customFormat="1" ht="15.75" customHeight="1">
      <c r="B26" s="224"/>
      <c r="C26" s="224"/>
      <c r="D26" s="224"/>
    </row>
    <row r="27" spans="1:14" s="225" customFormat="1" ht="15.75" customHeight="1">
      <c r="B27" s="224" t="s">
        <v>1076</v>
      </c>
      <c r="C27" s="224" t="s">
        <v>1861</v>
      </c>
      <c r="D27" s="224"/>
      <c r="N27" s="247" t="s">
        <v>1728</v>
      </c>
    </row>
    <row r="28" spans="1:14" s="225" customFormat="1" ht="15.75" customHeight="1">
      <c r="B28" s="224"/>
      <c r="C28" s="224"/>
      <c r="D28" s="224"/>
      <c r="N28" s="247"/>
    </row>
    <row r="29" spans="1:14" s="225" customFormat="1" ht="15.75" customHeight="1">
      <c r="B29" s="224" t="s">
        <v>1360</v>
      </c>
      <c r="C29" s="224" t="s">
        <v>1859</v>
      </c>
      <c r="D29" s="224"/>
      <c r="N29" s="247" t="s">
        <v>1761</v>
      </c>
    </row>
    <row r="30" spans="1:14" s="225" customFormat="1" ht="15.75" customHeight="1">
      <c r="B30" s="224"/>
      <c r="C30" s="224"/>
      <c r="D30" s="224"/>
      <c r="N30" s="247"/>
    </row>
    <row r="31" spans="1:14" s="225" customFormat="1" ht="15.75" customHeight="1">
      <c r="B31" s="253" t="s">
        <v>1371</v>
      </c>
      <c r="C31" s="224" t="s">
        <v>1862</v>
      </c>
      <c r="D31" s="224"/>
      <c r="N31" s="247" t="s">
        <v>1470</v>
      </c>
    </row>
    <row r="32" spans="1:14" s="225" customFormat="1" ht="15.75" customHeight="1">
      <c r="A32" s="264"/>
      <c r="C32" s="224" t="s">
        <v>1730</v>
      </c>
      <c r="D32" s="472"/>
      <c r="N32" s="247"/>
    </row>
    <row r="33" spans="1:14" s="225" customFormat="1" ht="15.75" customHeight="1">
      <c r="A33" s="264"/>
      <c r="C33" s="224"/>
      <c r="D33" s="472"/>
      <c r="N33" s="247"/>
    </row>
    <row r="34" spans="1:14" s="225" customFormat="1" ht="15.75" customHeight="1">
      <c r="A34" s="264"/>
      <c r="B34" s="224" t="s">
        <v>1375</v>
      </c>
      <c r="C34" s="224" t="s">
        <v>1504</v>
      </c>
      <c r="D34" s="472"/>
      <c r="N34" s="247" t="s">
        <v>1584</v>
      </c>
    </row>
    <row r="35" spans="1:14" s="225" customFormat="1" ht="15.75" customHeight="1">
      <c r="A35" s="264"/>
      <c r="C35" s="224" t="s">
        <v>1863</v>
      </c>
      <c r="D35" s="472"/>
      <c r="N35" s="247"/>
    </row>
    <row r="36" spans="1:14" s="225" customFormat="1" ht="15.75" customHeight="1">
      <c r="A36" s="264"/>
      <c r="C36" s="224" t="s">
        <v>1864</v>
      </c>
      <c r="D36" s="472"/>
      <c r="N36" s="247"/>
    </row>
    <row r="37" spans="1:14" s="225" customFormat="1" ht="15.75" customHeight="1">
      <c r="A37" s="264"/>
      <c r="C37" s="224"/>
      <c r="D37" s="472"/>
      <c r="N37" s="247"/>
    </row>
    <row r="38" spans="1:14" s="225" customFormat="1" ht="15.75" customHeight="1">
      <c r="A38" s="264"/>
      <c r="B38" s="224" t="s">
        <v>1376</v>
      </c>
      <c r="C38" s="224" t="s">
        <v>1509</v>
      </c>
      <c r="D38" s="224"/>
      <c r="N38" s="247" t="s">
        <v>1588</v>
      </c>
    </row>
    <row r="39" spans="1:14" s="225" customFormat="1" ht="15.75" customHeight="1">
      <c r="A39" s="264"/>
      <c r="D39" s="472"/>
      <c r="N39" s="475"/>
    </row>
    <row r="40" spans="1:14" s="225" customFormat="1" ht="15.75" customHeight="1">
      <c r="B40" s="224" t="s">
        <v>1379</v>
      </c>
      <c r="C40" s="224" t="s">
        <v>1391</v>
      </c>
      <c r="D40" s="224"/>
    </row>
    <row r="41" spans="1:14" s="225" customFormat="1" ht="15.75" customHeight="1">
      <c r="B41" s="224"/>
    </row>
    <row r="42" spans="1:14" s="225" customFormat="1" ht="15.75" customHeight="1">
      <c r="B42" s="224"/>
      <c r="C42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31496062992125984" footer="0.31496062992125984"/>
  <pageSetup paperSize="9" scale="6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28">
    <tabColor rgb="FF00B050"/>
  </sheetPr>
  <dimension ref="A1:K31"/>
  <sheetViews>
    <sheetView topLeftCell="A4" zoomScaleSheetLayoutView="85" workbookViewId="0">
      <selection activeCell="C70" sqref="C70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240</v>
      </c>
      <c r="G1" s="1272"/>
      <c r="H1" s="1273" t="s">
        <v>241</v>
      </c>
      <c r="I1" s="1273"/>
      <c r="J1" s="374" t="s">
        <v>242</v>
      </c>
    </row>
    <row r="2" spans="1:11" ht="15.75" customHeight="1">
      <c r="A2" s="371" t="str">
        <f>TableofContents!$D$17</f>
        <v>기타비유동자산</v>
      </c>
      <c r="B2" s="372"/>
      <c r="C2" s="372"/>
      <c r="D2" s="372"/>
      <c r="E2" s="372"/>
      <c r="F2" s="1274" t="str">
        <f>TableofContents!$B$17</f>
        <v>I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FS_worksheet!C69</f>
        <v xml:space="preserve">      전신 전화 가 입 권</v>
      </c>
      <c r="C7" s="230"/>
      <c r="D7" s="230">
        <f>VLOOKUP($B7,FS_worksheet!$C$11:$H$116,3,FALSE)</f>
        <v>700000</v>
      </c>
      <c r="E7" s="230"/>
      <c r="F7" s="230">
        <f t="shared" ref="F7" si="0">H7+J7-D7</f>
        <v>0</v>
      </c>
      <c r="G7" s="232"/>
      <c r="H7" s="230"/>
      <c r="I7" s="230"/>
      <c r="J7" s="230">
        <f>VLOOKUP($B7,FS_worksheet!$C$11:$H$116,5,FALSE)</f>
        <v>700000</v>
      </c>
      <c r="K7" s="233"/>
    </row>
    <row r="10" spans="1:11" ht="15.75" customHeight="1">
      <c r="A10" s="222" t="s">
        <v>244</v>
      </c>
    </row>
    <row r="11" spans="1:11" ht="15.75" customHeight="1">
      <c r="A11" s="222"/>
    </row>
    <row r="12" spans="1:11" ht="15.75" customHeight="1">
      <c r="A12" s="222"/>
    </row>
    <row r="13" spans="1:11" ht="15.75" customHeight="1">
      <c r="A13" s="222" t="s">
        <v>246</v>
      </c>
    </row>
    <row r="14" spans="1:11" ht="15.75" customHeight="1">
      <c r="A14" s="222"/>
      <c r="B14" s="223" t="s">
        <v>4814</v>
      </c>
    </row>
    <row r="15" spans="1:11" ht="15.75" customHeight="1">
      <c r="A15" s="222"/>
      <c r="B15" s="223" t="s">
        <v>4815</v>
      </c>
    </row>
    <row r="17" spans="1:6" ht="15.75" customHeight="1">
      <c r="A17" s="228" t="s">
        <v>248</v>
      </c>
      <c r="B17" s="225"/>
      <c r="C17" s="225"/>
      <c r="D17" s="225"/>
      <c r="E17" s="225"/>
      <c r="F17" s="225"/>
    </row>
    <row r="18" spans="1:6" ht="15.75" customHeight="1">
      <c r="A18" s="225"/>
      <c r="B18" s="225" t="s">
        <v>4816</v>
      </c>
      <c r="C18" s="225"/>
      <c r="D18" s="225"/>
      <c r="E18" s="225"/>
      <c r="F18" s="225"/>
    </row>
    <row r="19" spans="1:6" s="225" customFormat="1" ht="15.75" customHeight="1"/>
    <row r="20" spans="1:6" s="225" customFormat="1" ht="15.75" customHeight="1">
      <c r="A20" s="228" t="s">
        <v>762</v>
      </c>
    </row>
    <row r="21" spans="1:6" s="225" customFormat="1" ht="15.75" customHeight="1">
      <c r="A21" s="253" t="s">
        <v>761</v>
      </c>
    </row>
    <row r="22" spans="1:6" s="225" customFormat="1" ht="15.75" customHeight="1">
      <c r="A22" s="264"/>
      <c r="B22" s="225" t="s">
        <v>754</v>
      </c>
      <c r="F22" s="225" t="s">
        <v>755</v>
      </c>
    </row>
    <row r="23" spans="1:6" s="225" customFormat="1" ht="15.75" customHeight="1"/>
    <row r="24" spans="1:6" s="225" customFormat="1" ht="15.75" customHeight="1"/>
    <row r="25" spans="1:6" s="225" customFormat="1" ht="15.75" customHeight="1"/>
    <row r="26" spans="1:6" s="225" customFormat="1" ht="15.75" customHeight="1"/>
    <row r="27" spans="1:6" s="225" customFormat="1" ht="15.75" customHeight="1"/>
    <row r="28" spans="1:6" s="225" customFormat="1" ht="15.75" customHeight="1"/>
    <row r="29" spans="1:6" s="225" customFormat="1" ht="15.75" customHeight="1"/>
    <row r="30" spans="1:6" s="225" customFormat="1" ht="15.75" customHeight="1"/>
    <row r="31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</sheetPr>
  <dimension ref="A1:P96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TableofContents!$D$18</f>
        <v>매입채무(장단기)</v>
      </c>
      <c r="B2" s="449"/>
      <c r="C2" s="449"/>
      <c r="D2" s="449"/>
      <c r="E2" s="449"/>
      <c r="F2" s="449"/>
      <c r="G2" s="450"/>
      <c r="H2" s="1255" t="str">
        <f>"DIR - "&amp;TableofContents!$B$18</f>
        <v>DIR - AA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1865</v>
      </c>
      <c r="N16" s="247" t="s">
        <v>1866</v>
      </c>
    </row>
    <row r="17" spans="1:14" s="225" customFormat="1" ht="15.75" customHeight="1">
      <c r="A17" s="224"/>
      <c r="B17" s="224"/>
      <c r="C17" s="224"/>
      <c r="D17" s="224" t="s">
        <v>1867</v>
      </c>
    </row>
    <row r="18" spans="1:14" s="225" customFormat="1" ht="15.75" customHeight="1">
      <c r="A18" s="224"/>
      <c r="B18" s="224"/>
      <c r="C18" s="224"/>
    </row>
    <row r="19" spans="1:14" s="225" customFormat="1" ht="15.75" customHeight="1">
      <c r="A19" s="224"/>
      <c r="B19" s="224" t="s">
        <v>1069</v>
      </c>
      <c r="C19" s="224" t="s">
        <v>1883</v>
      </c>
      <c r="N19" s="247" t="s">
        <v>1401</v>
      </c>
    </row>
    <row r="20" spans="1:14" s="225" customFormat="1" ht="15.75" customHeight="1">
      <c r="D20" s="492" t="s">
        <v>1886</v>
      </c>
      <c r="E20" s="226"/>
      <c r="F20" s="226"/>
      <c r="G20" s="226"/>
      <c r="H20" s="226"/>
      <c r="I20" s="226"/>
      <c r="J20" s="226"/>
      <c r="K20" s="226"/>
      <c r="L20" s="226"/>
      <c r="M20" s="226"/>
      <c r="N20" s="226"/>
    </row>
    <row r="21" spans="1:14" s="225" customFormat="1" ht="15.75" customHeight="1">
      <c r="D21" s="492" t="s">
        <v>1887</v>
      </c>
      <c r="E21" s="226"/>
      <c r="F21" s="226"/>
      <c r="G21" s="226"/>
      <c r="H21" s="226"/>
      <c r="I21" s="226"/>
      <c r="J21" s="226"/>
      <c r="K21" s="226"/>
      <c r="L21" s="226"/>
      <c r="M21" s="226"/>
      <c r="N21" s="226"/>
    </row>
    <row r="22" spans="1:14" s="225" customFormat="1" ht="15.75" customHeight="1">
      <c r="D22" s="492" t="s">
        <v>1888</v>
      </c>
      <c r="E22" s="226"/>
      <c r="F22" s="226"/>
      <c r="G22" s="226"/>
      <c r="H22" s="226"/>
      <c r="I22" s="226"/>
      <c r="J22" s="226"/>
      <c r="K22" s="226"/>
      <c r="L22" s="226"/>
      <c r="M22" s="226"/>
      <c r="N22" s="226"/>
    </row>
    <row r="23" spans="1:14" s="225" customFormat="1" ht="15.75" customHeight="1">
      <c r="D23" s="471" t="s">
        <v>1868</v>
      </c>
      <c r="E23" s="226"/>
      <c r="F23" s="226"/>
      <c r="G23" s="226"/>
      <c r="H23" s="226"/>
      <c r="I23" s="226"/>
      <c r="J23" s="226"/>
      <c r="K23" s="226"/>
      <c r="L23" s="226"/>
      <c r="M23" s="226"/>
      <c r="N23" s="226"/>
    </row>
    <row r="24" spans="1:14" s="225" customFormat="1" ht="15.75" customHeight="1">
      <c r="D24" s="492" t="s">
        <v>1889</v>
      </c>
      <c r="E24" s="226"/>
      <c r="F24" s="226"/>
      <c r="G24" s="226"/>
      <c r="H24" s="226"/>
      <c r="I24" s="226"/>
      <c r="J24" s="226"/>
      <c r="K24" s="226"/>
      <c r="L24" s="226"/>
      <c r="M24" s="226"/>
      <c r="N24" s="226"/>
    </row>
    <row r="25" spans="1:14" s="225" customFormat="1" ht="15.75" customHeight="1">
      <c r="D25" s="492" t="s">
        <v>1890</v>
      </c>
      <c r="E25" s="226"/>
      <c r="F25" s="226"/>
      <c r="G25" s="226"/>
      <c r="H25" s="226"/>
      <c r="I25" s="226"/>
      <c r="J25" s="226"/>
      <c r="K25" s="226"/>
      <c r="L25" s="226"/>
      <c r="M25" s="226"/>
      <c r="N25" s="226"/>
    </row>
    <row r="26" spans="1:14" s="225" customFormat="1" ht="15.75" customHeight="1">
      <c r="D26" s="492" t="s">
        <v>1891</v>
      </c>
      <c r="E26" s="226"/>
      <c r="F26" s="226"/>
      <c r="G26" s="226"/>
      <c r="H26" s="226"/>
      <c r="I26" s="226"/>
      <c r="J26" s="226"/>
      <c r="K26" s="226"/>
      <c r="L26" s="226"/>
      <c r="M26" s="226"/>
      <c r="N26" s="226"/>
    </row>
    <row r="27" spans="1:14" s="225" customFormat="1" ht="15.75" customHeight="1"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</row>
    <row r="28" spans="1:14" s="225" customFormat="1" ht="15.75" customHeight="1">
      <c r="B28" s="224" t="s">
        <v>1070</v>
      </c>
      <c r="C28" s="224" t="s">
        <v>1884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47" t="s">
        <v>1307</v>
      </c>
    </row>
    <row r="29" spans="1:14" s="225" customFormat="1" ht="15.75" customHeight="1">
      <c r="A29" s="224"/>
      <c r="B29" s="224"/>
      <c r="C29" s="224"/>
      <c r="D29" s="472" t="s">
        <v>1892</v>
      </c>
    </row>
    <row r="30" spans="1:14" s="225" customFormat="1" ht="15.75" customHeight="1">
      <c r="A30" s="224"/>
      <c r="B30" s="224"/>
      <c r="C30" s="224"/>
      <c r="D30" s="224" t="s">
        <v>1869</v>
      </c>
    </row>
    <row r="31" spans="1:14" s="225" customFormat="1" ht="15.75" customHeight="1">
      <c r="A31" s="224"/>
      <c r="B31" s="224"/>
      <c r="C31" s="224"/>
      <c r="D31" s="472" t="s">
        <v>1893</v>
      </c>
    </row>
    <row r="32" spans="1:14" s="225" customFormat="1" ht="15.75" customHeight="1">
      <c r="A32" s="224"/>
      <c r="B32" s="224"/>
      <c r="C32" s="224"/>
      <c r="D32" s="224" t="s">
        <v>1870</v>
      </c>
    </row>
    <row r="33" spans="1:14" s="225" customFormat="1" ht="15.75" customHeight="1">
      <c r="A33" s="224"/>
      <c r="B33" s="224"/>
      <c r="C33" s="224"/>
      <c r="D33" s="224" t="s">
        <v>1894</v>
      </c>
    </row>
    <row r="34" spans="1:14" s="225" customFormat="1" ht="15.75" customHeight="1">
      <c r="A34" s="224"/>
      <c r="B34" s="224"/>
      <c r="C34" s="224"/>
      <c r="D34" s="224"/>
    </row>
    <row r="35" spans="1:14" s="225" customFormat="1" ht="15.75" customHeight="1">
      <c r="A35" s="224"/>
      <c r="B35" s="224" t="s">
        <v>1076</v>
      </c>
      <c r="C35" s="224" t="s">
        <v>1597</v>
      </c>
      <c r="D35" s="224"/>
      <c r="N35" s="247" t="s">
        <v>1871</v>
      </c>
    </row>
    <row r="36" spans="1:14" s="225" customFormat="1" ht="15.75" customHeight="1">
      <c r="A36" s="224"/>
      <c r="B36" s="224"/>
      <c r="C36" s="224"/>
      <c r="D36" s="224" t="s">
        <v>1872</v>
      </c>
      <c r="N36" s="247"/>
    </row>
    <row r="37" spans="1:14" s="225" customFormat="1" ht="15.75" customHeight="1">
      <c r="A37" s="224"/>
      <c r="B37" s="224"/>
      <c r="C37" s="224"/>
      <c r="D37" s="472" t="s">
        <v>1895</v>
      </c>
      <c r="N37" s="247"/>
    </row>
    <row r="38" spans="1:14" s="225" customFormat="1" ht="15.75" customHeight="1">
      <c r="A38" s="224"/>
      <c r="B38" s="224"/>
      <c r="C38" s="224"/>
      <c r="D38" s="472" t="s">
        <v>1873</v>
      </c>
      <c r="N38" s="247"/>
    </row>
    <row r="39" spans="1:14" s="225" customFormat="1" ht="15.75" customHeight="1">
      <c r="A39" s="224"/>
      <c r="B39" s="224"/>
      <c r="C39" s="224"/>
      <c r="D39" s="472" t="s">
        <v>1896</v>
      </c>
      <c r="N39" s="247"/>
    </row>
    <row r="40" spans="1:14" s="225" customFormat="1" ht="15.75" customHeight="1">
      <c r="A40" s="224"/>
      <c r="B40" s="224"/>
      <c r="C40" s="224"/>
      <c r="D40" s="472" t="s">
        <v>1897</v>
      </c>
      <c r="N40" s="247"/>
    </row>
    <row r="41" spans="1:14" s="225" customFormat="1" ht="15.75" customHeight="1">
      <c r="A41" s="224"/>
      <c r="B41" s="224"/>
      <c r="C41" s="224"/>
      <c r="D41" s="472" t="s">
        <v>1874</v>
      </c>
      <c r="N41" s="247"/>
    </row>
    <row r="42" spans="1:14" s="225" customFormat="1" ht="15.75" customHeight="1">
      <c r="A42" s="224"/>
      <c r="B42" s="224"/>
      <c r="C42" s="224"/>
      <c r="D42" s="472" t="s">
        <v>1898</v>
      </c>
      <c r="N42" s="247"/>
    </row>
    <row r="43" spans="1:14" s="225" customFormat="1" ht="15.75" customHeight="1">
      <c r="A43" s="224"/>
      <c r="B43" s="224"/>
      <c r="C43" s="224"/>
      <c r="D43" s="472" t="s">
        <v>1875</v>
      </c>
      <c r="N43" s="247"/>
    </row>
    <row r="44" spans="1:14" s="225" customFormat="1" ht="15.75" customHeight="1">
      <c r="A44" s="224"/>
      <c r="B44" s="224"/>
      <c r="C44" s="224"/>
      <c r="D44" s="472" t="s">
        <v>1899</v>
      </c>
      <c r="N44" s="247"/>
    </row>
    <row r="45" spans="1:14" s="225" customFormat="1" ht="15.75" customHeight="1">
      <c r="A45" s="224"/>
      <c r="B45" s="224"/>
      <c r="C45" s="224"/>
      <c r="D45" s="472" t="s">
        <v>1876</v>
      </c>
      <c r="N45" s="247"/>
    </row>
    <row r="46" spans="1:14" s="225" customFormat="1" ht="15.75" customHeight="1">
      <c r="A46" s="224"/>
      <c r="B46" s="224"/>
      <c r="C46" s="224"/>
      <c r="D46" s="472" t="s">
        <v>1900</v>
      </c>
      <c r="N46" s="247"/>
    </row>
    <row r="47" spans="1:14" s="225" customFormat="1" ht="15.75" customHeight="1">
      <c r="A47" s="224"/>
      <c r="B47" s="224"/>
      <c r="C47" s="224"/>
      <c r="D47" s="224"/>
      <c r="N47" s="247"/>
    </row>
    <row r="48" spans="1:14" s="225" customFormat="1" ht="15.75" customHeight="1">
      <c r="A48" s="224"/>
      <c r="B48" s="224" t="s">
        <v>1360</v>
      </c>
      <c r="C48" s="224" t="s">
        <v>1885</v>
      </c>
      <c r="D48" s="224"/>
      <c r="N48" s="247" t="s">
        <v>1871</v>
      </c>
    </row>
    <row r="49" spans="1:14" s="225" customFormat="1" ht="15.75" customHeight="1">
      <c r="A49" s="224"/>
      <c r="B49" s="224"/>
      <c r="C49" s="224"/>
      <c r="D49" s="472" t="s">
        <v>1901</v>
      </c>
      <c r="N49" s="247"/>
    </row>
    <row r="50" spans="1:14" s="225" customFormat="1" ht="15.75" customHeight="1">
      <c r="A50" s="224"/>
      <c r="B50" s="224"/>
      <c r="C50" s="224"/>
      <c r="D50" s="472" t="s">
        <v>1902</v>
      </c>
      <c r="N50" s="247"/>
    </row>
    <row r="51" spans="1:14" s="225" customFormat="1" ht="15.75" customHeight="1">
      <c r="A51" s="224"/>
      <c r="B51" s="224"/>
      <c r="C51" s="224"/>
      <c r="D51" s="224" t="s">
        <v>1877</v>
      </c>
      <c r="N51" s="247"/>
    </row>
    <row r="52" spans="1:14" s="225" customFormat="1" ht="15.75" customHeight="1">
      <c r="A52" s="224"/>
      <c r="B52" s="224"/>
      <c r="C52" s="224"/>
      <c r="D52" s="472" t="s">
        <v>1903</v>
      </c>
      <c r="N52" s="247"/>
    </row>
    <row r="53" spans="1:14" s="225" customFormat="1" ht="15.75" customHeight="1">
      <c r="A53" s="224"/>
      <c r="B53" s="224"/>
      <c r="C53" s="224"/>
      <c r="D53" s="224" t="s">
        <v>1878</v>
      </c>
      <c r="N53" s="247"/>
    </row>
    <row r="54" spans="1:14" s="225" customFormat="1" ht="15.75" customHeight="1">
      <c r="A54" s="224"/>
      <c r="B54" s="224"/>
      <c r="C54" s="224"/>
      <c r="D54" s="224"/>
      <c r="N54" s="247"/>
    </row>
    <row r="55" spans="1:14" s="225" customFormat="1" ht="15.75" customHeight="1">
      <c r="B55" s="253" t="s">
        <v>1371</v>
      </c>
      <c r="C55" s="224" t="s">
        <v>1510</v>
      </c>
      <c r="D55" s="224"/>
      <c r="N55" s="247" t="s">
        <v>1311</v>
      </c>
    </row>
    <row r="56" spans="1:14" s="225" customFormat="1" ht="15.75" customHeight="1">
      <c r="D56" s="472" t="s">
        <v>1904</v>
      </c>
      <c r="N56" s="247"/>
    </row>
    <row r="57" spans="1:14" s="225" customFormat="1" ht="15.75" customHeight="1">
      <c r="D57" s="472" t="s">
        <v>1905</v>
      </c>
      <c r="N57" s="247"/>
    </row>
    <row r="58" spans="1:14" s="225" customFormat="1" ht="15.75" customHeight="1">
      <c r="D58" s="472" t="s">
        <v>1906</v>
      </c>
      <c r="N58" s="247"/>
    </row>
    <row r="59" spans="1:14" s="225" customFormat="1" ht="15.75" customHeight="1">
      <c r="D59" s="472" t="s">
        <v>1907</v>
      </c>
      <c r="N59" s="247"/>
    </row>
    <row r="60" spans="1:14" s="225" customFormat="1" ht="15.75" customHeight="1">
      <c r="D60" s="472" t="s">
        <v>1880</v>
      </c>
      <c r="N60" s="247"/>
    </row>
    <row r="61" spans="1:14" s="225" customFormat="1" ht="15.75" customHeight="1">
      <c r="D61" s="472"/>
      <c r="N61" s="247"/>
    </row>
    <row r="62" spans="1:14" s="225" customFormat="1" ht="15.75" customHeight="1">
      <c r="B62" s="224" t="s">
        <v>1375</v>
      </c>
      <c r="C62" s="224" t="s">
        <v>1882</v>
      </c>
      <c r="D62" s="224"/>
      <c r="N62" s="247" t="s">
        <v>1311</v>
      </c>
    </row>
    <row r="63" spans="1:14" s="225" customFormat="1" ht="15.75" customHeight="1">
      <c r="D63" s="472" t="s">
        <v>1604</v>
      </c>
    </row>
    <row r="64" spans="1:14" s="225" customFormat="1" ht="15.75" customHeight="1">
      <c r="D64" s="472" t="s">
        <v>1908</v>
      </c>
    </row>
    <row r="65" spans="1:14" s="225" customFormat="1" ht="15.75" customHeight="1">
      <c r="D65" s="472" t="s">
        <v>1909</v>
      </c>
    </row>
    <row r="66" spans="1:14" s="225" customFormat="1" ht="15.75" customHeight="1">
      <c r="D66" s="472" t="s">
        <v>1910</v>
      </c>
    </row>
    <row r="67" spans="1:14" s="229" customFormat="1" ht="15.75" customHeight="1">
      <c r="A67" s="253"/>
      <c r="B67" s="253"/>
      <c r="C67" s="224"/>
      <c r="D67" s="224"/>
      <c r="E67" s="225"/>
      <c r="F67" s="225"/>
      <c r="G67" s="225"/>
      <c r="H67" s="225"/>
      <c r="I67" s="225"/>
      <c r="J67" s="225"/>
      <c r="K67" s="225"/>
      <c r="L67" s="225"/>
    </row>
    <row r="68" spans="1:14" s="225" customFormat="1" ht="15.75" customHeight="1">
      <c r="A68" s="264"/>
      <c r="B68" s="224" t="s">
        <v>1376</v>
      </c>
      <c r="C68" s="224" t="s">
        <v>1391</v>
      </c>
      <c r="D68" s="224"/>
    </row>
    <row r="69" spans="1:14" s="225" customFormat="1" ht="15.75" customHeight="1">
      <c r="A69" s="264"/>
      <c r="B69" s="264"/>
    </row>
    <row r="70" spans="1:14" s="225" customFormat="1" ht="15.75" customHeight="1">
      <c r="A70" s="264"/>
      <c r="B70" s="264"/>
      <c r="C70" s="224"/>
      <c r="D70" s="224"/>
    </row>
    <row r="71" spans="1:14" s="225" customFormat="1" ht="15.75" customHeight="1">
      <c r="A71" s="264"/>
      <c r="B71" s="264"/>
      <c r="D71" s="224"/>
    </row>
    <row r="72" spans="1:14" s="225" customFormat="1" ht="15.75" customHeight="1">
      <c r="A72" s="264"/>
      <c r="B72" s="264"/>
    </row>
    <row r="73" spans="1:14" s="225" customFormat="1" ht="15.75" customHeight="1">
      <c r="A73" s="264"/>
      <c r="B73" s="264"/>
      <c r="C73" s="224"/>
      <c r="D73" s="224"/>
    </row>
    <row r="74" spans="1:14" s="225" customFormat="1" ht="15.75" customHeight="1">
      <c r="A74" s="264"/>
      <c r="B74" s="264"/>
    </row>
    <row r="75" spans="1:14" s="225" customFormat="1" ht="15.75" customHeight="1">
      <c r="A75" s="264"/>
      <c r="B75" s="264"/>
      <c r="C75" s="224"/>
      <c r="D75" s="224"/>
    </row>
    <row r="76" spans="1:14" s="225" customFormat="1" ht="15.75" customHeight="1">
      <c r="A76" s="264"/>
      <c r="B76" s="264"/>
    </row>
    <row r="77" spans="1:14" s="225" customFormat="1" ht="15.75" customHeight="1">
      <c r="A77" s="264"/>
      <c r="B77" s="253"/>
      <c r="N77" s="247"/>
    </row>
    <row r="78" spans="1:14" s="225" customFormat="1" ht="15.75" customHeight="1">
      <c r="A78" s="264"/>
      <c r="B78" s="264"/>
    </row>
    <row r="79" spans="1:14" s="225" customFormat="1" ht="15.75" customHeight="1">
      <c r="A79" s="264"/>
      <c r="B79" s="253"/>
      <c r="C79" s="224"/>
      <c r="N79" s="247"/>
    </row>
    <row r="80" spans="1:14" s="225" customFormat="1" ht="15.75" customHeight="1">
      <c r="A80" s="264"/>
      <c r="B80" s="264"/>
    </row>
    <row r="81" spans="1:14" s="225" customFormat="1" ht="15.75" customHeight="1">
      <c r="A81" s="264"/>
      <c r="B81" s="253"/>
      <c r="C81" s="224"/>
      <c r="N81" s="247"/>
    </row>
    <row r="82" spans="1:14" s="225" customFormat="1" ht="15.75" customHeight="1">
      <c r="A82" s="264"/>
      <c r="B82" s="264"/>
      <c r="D82" s="224"/>
    </row>
    <row r="83" spans="1:14" s="225" customFormat="1" ht="15.75" customHeight="1">
      <c r="A83" s="264"/>
      <c r="B83" s="264"/>
      <c r="D83" s="224"/>
    </row>
    <row r="84" spans="1:14" s="225" customFormat="1" ht="15.75" customHeight="1">
      <c r="A84" s="264"/>
      <c r="B84" s="264"/>
    </row>
    <row r="85" spans="1:14" s="225" customFormat="1" ht="15.75" customHeight="1">
      <c r="A85" s="264"/>
      <c r="B85" s="253"/>
      <c r="C85" s="224"/>
      <c r="N85" s="247"/>
    </row>
    <row r="86" spans="1:14" s="225" customFormat="1" ht="15.75" customHeight="1">
      <c r="A86" s="264"/>
      <c r="B86" s="264"/>
    </row>
    <row r="87" spans="1:14" s="225" customFormat="1" ht="15.75" customHeight="1">
      <c r="B87" s="224"/>
      <c r="C87" s="224"/>
      <c r="N87" s="247"/>
    </row>
    <row r="88" spans="1:14" s="225" customFormat="1" ht="15.75" customHeight="1"/>
    <row r="89" spans="1:14" s="225" customFormat="1" ht="15.75" customHeight="1">
      <c r="B89" s="224"/>
      <c r="C89" s="224"/>
      <c r="N89" s="247"/>
    </row>
    <row r="90" spans="1:14" s="225" customFormat="1" ht="15.75" customHeight="1"/>
    <row r="91" spans="1:14" s="225" customFormat="1" ht="15.75" customHeight="1">
      <c r="B91" s="224"/>
      <c r="C91" s="227"/>
      <c r="N91" s="252"/>
    </row>
    <row r="92" spans="1:14" s="225" customFormat="1" ht="15.75" customHeight="1">
      <c r="D92" s="223"/>
    </row>
    <row r="93" spans="1:14" s="225" customFormat="1" ht="15.75" customHeight="1">
      <c r="D93" s="223"/>
    </row>
    <row r="94" spans="1:14" s="225" customFormat="1" ht="15.75" customHeight="1">
      <c r="D94" s="223"/>
    </row>
    <row r="95" spans="1:14" s="225" customFormat="1" ht="15.75" customHeight="1"/>
    <row r="96" spans="1:14" s="225" customFormat="1" ht="15.75" customHeight="1">
      <c r="B96" s="224"/>
      <c r="C96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29">
    <tabColor rgb="FF00B050"/>
  </sheetPr>
  <dimension ref="A1:K45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1" t="str">
        <f>TableofContents!$D$18</f>
        <v>매입채무(장단기)</v>
      </c>
      <c r="B2" s="372"/>
      <c r="C2" s="372"/>
      <c r="D2" s="372"/>
      <c r="E2" s="372"/>
      <c r="F2" s="1274" t="str">
        <f>TableofContents!$B$18</f>
        <v>AA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FS_worksheet!C78</f>
        <v xml:space="preserve">      미   지    급   금</v>
      </c>
      <c r="C7" s="230"/>
      <c r="D7" s="230">
        <f>VLOOKUP($B7,FS_worksheet!$C$11:$H$116,3,FALSE)</f>
        <v>25168990</v>
      </c>
      <c r="E7" s="230"/>
      <c r="F7" s="230">
        <f>H7+J7-D7</f>
        <v>14179596</v>
      </c>
      <c r="G7" s="232"/>
      <c r="H7" s="230"/>
      <c r="I7" s="230"/>
      <c r="J7" s="230">
        <f>VLOOKUP($B7,FS_worksheet!$C$11:$H$116,5,FALSE)</f>
        <v>39348586</v>
      </c>
      <c r="K7" s="233"/>
    </row>
    <row r="8" spans="1:11" ht="15.75" customHeight="1">
      <c r="A8" s="233"/>
      <c r="B8" s="234" t="str">
        <f>FS_worksheet!C79</f>
        <v xml:space="preserve">      예      수      금</v>
      </c>
      <c r="C8" s="233"/>
      <c r="D8" s="233">
        <f>VLOOKUP($B8,FS_worksheet!$C$11:$H$116,3,FALSE)</f>
        <v>3177820</v>
      </c>
      <c r="E8" s="233"/>
      <c r="F8" s="233">
        <f>H8+J8-D8</f>
        <v>-1378050</v>
      </c>
      <c r="G8" s="235"/>
      <c r="H8" s="233"/>
      <c r="I8" s="233"/>
      <c r="J8" s="233">
        <f>VLOOKUP($B8,FS_worksheet!$C$11:$H$116,5,FALSE)</f>
        <v>1799770</v>
      </c>
      <c r="K8" s="233"/>
    </row>
    <row r="9" spans="1:11" ht="15.75" customHeight="1">
      <c r="A9" s="230"/>
      <c r="B9" s="231" t="s">
        <v>234</v>
      </c>
      <c r="C9" s="230"/>
      <c r="D9" s="230" t="e">
        <f>VLOOKUP($B9,FS_worksheet!$C$11:$H$116,3,FALSE)</f>
        <v>#N/A</v>
      </c>
      <c r="E9" s="230"/>
      <c r="F9" s="230" t="e">
        <f>H9+J9-D9</f>
        <v>#N/A</v>
      </c>
      <c r="G9" s="232"/>
      <c r="H9" s="230"/>
      <c r="I9" s="230"/>
      <c r="J9" s="230" t="e">
        <f>VLOOKUP($B9,FS_worksheet!$C$11:$H$116,5,FALSE)</f>
        <v>#N/A</v>
      </c>
    </row>
    <row r="10" spans="1:11" ht="15.75" customHeight="1">
      <c r="A10" s="233"/>
      <c r="B10" s="234" t="e">
        <f>FS_worksheet!C81</f>
        <v>#REF!</v>
      </c>
      <c r="C10" s="233"/>
      <c r="D10" s="233" t="e">
        <f>VLOOKUP($B10,FS_worksheet!$C$11:$H$116,3,FALSE)</f>
        <v>#REF!</v>
      </c>
      <c r="E10" s="233"/>
      <c r="F10" s="233" t="e">
        <f>H10+J10-D10</f>
        <v>#REF!</v>
      </c>
      <c r="G10" s="235"/>
      <c r="H10" s="233"/>
      <c r="I10" s="233"/>
      <c r="J10" s="233" t="e">
        <f>VLOOKUP($B10,FS_worksheet!$C$11:$H$116,5,FALSE)</f>
        <v>#REF!</v>
      </c>
    </row>
    <row r="11" spans="1:11" ht="15.75" customHeight="1">
      <c r="A11" s="233"/>
      <c r="B11" s="233"/>
      <c r="C11" s="233"/>
      <c r="D11" s="233"/>
      <c r="E11" s="233"/>
      <c r="F11" s="233"/>
      <c r="G11" s="235"/>
      <c r="H11" s="233"/>
      <c r="I11" s="233"/>
      <c r="J11" s="233"/>
    </row>
    <row r="13" spans="1:11" ht="15.75" customHeight="1">
      <c r="A13" s="222" t="s">
        <v>124</v>
      </c>
    </row>
    <row r="14" spans="1:11" ht="15.75" customHeight="1">
      <c r="A14" s="227" t="s">
        <v>42</v>
      </c>
      <c r="B14" s="223" t="s">
        <v>809</v>
      </c>
    </row>
    <row r="15" spans="1:11" ht="15.75" customHeight="1">
      <c r="A15" s="227" t="s">
        <v>26</v>
      </c>
      <c r="B15" s="223" t="s">
        <v>810</v>
      </c>
    </row>
    <row r="16" spans="1:11" ht="15.75" customHeight="1">
      <c r="A16" s="227" t="s">
        <v>27</v>
      </c>
      <c r="B16" s="223" t="s">
        <v>854</v>
      </c>
    </row>
    <row r="17" spans="1:2" ht="15.75" customHeight="1">
      <c r="A17" s="227" t="s">
        <v>28</v>
      </c>
      <c r="B17" s="223" t="s">
        <v>252</v>
      </c>
    </row>
    <row r="20" spans="1:2" ht="15.75" customHeight="1">
      <c r="A20" s="222" t="s">
        <v>125</v>
      </c>
    </row>
    <row r="21" spans="1:2" ht="15.75" customHeight="1">
      <c r="A21" s="241" t="s">
        <v>2</v>
      </c>
      <c r="B21" s="223" t="s">
        <v>855</v>
      </c>
    </row>
    <row r="22" spans="1:2" ht="15.75" customHeight="1">
      <c r="A22" s="241" t="s">
        <v>34</v>
      </c>
      <c r="B22" s="223" t="s">
        <v>856</v>
      </c>
    </row>
    <row r="23" spans="1:2" ht="15.75" customHeight="1">
      <c r="A23" s="241" t="s">
        <v>35</v>
      </c>
      <c r="B23" s="223" t="s">
        <v>857</v>
      </c>
    </row>
    <row r="24" spans="1:2" ht="15.75" customHeight="1">
      <c r="A24" s="241" t="s">
        <v>36</v>
      </c>
      <c r="B24" s="223" t="s">
        <v>792</v>
      </c>
    </row>
    <row r="25" spans="1:2" ht="15.75" customHeight="1">
      <c r="A25" s="241" t="s">
        <v>39</v>
      </c>
      <c r="B25" s="227" t="s">
        <v>858</v>
      </c>
    </row>
    <row r="26" spans="1:2" ht="15.75" customHeight="1">
      <c r="A26" s="241" t="s">
        <v>43</v>
      </c>
      <c r="B26" s="223" t="s">
        <v>863</v>
      </c>
    </row>
    <row r="27" spans="1:2" ht="15.75" customHeight="1">
      <c r="A27" s="241" t="s">
        <v>44</v>
      </c>
      <c r="B27" s="223" t="s">
        <v>859</v>
      </c>
    </row>
    <row r="28" spans="1:2" ht="15.75" customHeight="1">
      <c r="A28" s="241" t="s">
        <v>45</v>
      </c>
      <c r="B28" s="223" t="s">
        <v>860</v>
      </c>
    </row>
    <row r="29" spans="1:2" ht="15.75" customHeight="1">
      <c r="A29" s="241" t="s">
        <v>46</v>
      </c>
      <c r="B29" s="223" t="s">
        <v>861</v>
      </c>
    </row>
    <row r="30" spans="1:2" ht="15.75" customHeight="1">
      <c r="A30" s="241"/>
      <c r="B30" s="223" t="s">
        <v>862</v>
      </c>
    </row>
    <row r="31" spans="1:2" ht="15.75" customHeight="1">
      <c r="A31" s="241"/>
      <c r="B31" s="223" t="s">
        <v>134</v>
      </c>
    </row>
    <row r="33" spans="1:6" s="225" customFormat="1" ht="15.75" customHeight="1">
      <c r="A33" s="228" t="s">
        <v>248</v>
      </c>
    </row>
    <row r="34" spans="1:6" s="225" customFormat="1" ht="15.75" customHeight="1"/>
    <row r="35" spans="1:6" s="225" customFormat="1" ht="15.75" customHeight="1"/>
    <row r="36" spans="1:6" s="225" customFormat="1" ht="15.75" customHeight="1">
      <c r="A36" s="228" t="s">
        <v>762</v>
      </c>
    </row>
    <row r="37" spans="1:6" s="225" customFormat="1" ht="15.75" customHeight="1">
      <c r="A37" s="253" t="s">
        <v>761</v>
      </c>
    </row>
    <row r="38" spans="1:6" s="225" customFormat="1" ht="15.75" customHeight="1">
      <c r="A38" s="264"/>
      <c r="B38" s="225" t="s">
        <v>754</v>
      </c>
      <c r="F38" s="225" t="s">
        <v>755</v>
      </c>
    </row>
    <row r="39" spans="1:6" s="225" customFormat="1" ht="15.75" customHeight="1"/>
    <row r="40" spans="1:6" s="225" customFormat="1" ht="15.75" customHeight="1"/>
    <row r="41" spans="1:6" s="225" customFormat="1" ht="15.75" customHeight="1"/>
    <row r="42" spans="1:6" s="225" customFormat="1" ht="15.75" customHeight="1">
      <c r="B42" s="227"/>
    </row>
    <row r="43" spans="1:6" s="225" customFormat="1" ht="15.75" customHeight="1">
      <c r="B43" s="227"/>
    </row>
    <row r="44" spans="1:6" s="225" customFormat="1" ht="15.75" customHeight="1"/>
    <row r="45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0000"/>
  </sheetPr>
  <dimension ref="A1:CF611"/>
  <sheetViews>
    <sheetView zoomScaleSheetLayoutView="100" workbookViewId="0">
      <selection activeCell="C14" sqref="C14"/>
    </sheetView>
  </sheetViews>
  <sheetFormatPr defaultRowHeight="12"/>
  <cols>
    <col min="1" max="1" width="30.625" style="172" customWidth="1"/>
    <col min="2" max="2" width="14.375" style="219" customWidth="1"/>
    <col min="3" max="4" width="14" style="219" customWidth="1"/>
    <col min="5" max="5" width="14.25" style="219" customWidth="1"/>
    <col min="6" max="6" width="5.5" style="173" customWidth="1"/>
    <col min="7" max="16384" width="9" style="173"/>
  </cols>
  <sheetData>
    <row r="1" spans="1:5" s="155" customFormat="1" ht="31.5" customHeight="1">
      <c r="A1" s="3" t="s">
        <v>2665</v>
      </c>
      <c r="B1" s="175"/>
      <c r="C1" s="175"/>
      <c r="D1" s="175"/>
      <c r="E1" s="175"/>
    </row>
    <row r="2" spans="1:5" s="155" customFormat="1" ht="12" customHeight="1">
      <c r="A2" s="176"/>
      <c r="B2" s="175"/>
      <c r="C2" s="175"/>
      <c r="D2" s="175"/>
      <c r="E2" s="175"/>
    </row>
    <row r="3" spans="1:5" s="158" customFormat="1" ht="12" customHeight="1">
      <c r="A3" s="157" t="str">
        <f>기본사항!C5</f>
        <v>제  13  기  2011년 12월 31일  현재</v>
      </c>
      <c r="B3" s="177"/>
      <c r="C3" s="177"/>
      <c r="D3" s="177"/>
      <c r="E3" s="177"/>
    </row>
    <row r="4" spans="1:5" s="158" customFormat="1" ht="15.75" customHeight="1">
      <c r="A4" s="157" t="str">
        <f>기본사항!C6</f>
        <v>제  12  기  2010년 12월 31일  현재</v>
      </c>
      <c r="B4" s="177"/>
      <c r="C4" s="177"/>
      <c r="D4" s="177"/>
      <c r="E4" s="177"/>
    </row>
    <row r="5" spans="1:5" s="158" customFormat="1" ht="12" customHeight="1">
      <c r="A5" s="157"/>
      <c r="B5" s="177"/>
      <c r="C5" s="177"/>
      <c r="D5" s="177"/>
      <c r="E5" s="177"/>
    </row>
    <row r="6" spans="1:5" s="1" customFormat="1" ht="12" customHeight="1">
      <c r="A6" s="159"/>
      <c r="B6" s="178"/>
      <c r="C6" s="178"/>
      <c r="D6" s="178"/>
      <c r="E6" s="178"/>
    </row>
    <row r="7" spans="1:5" s="1" customFormat="1" ht="12" customHeight="1">
      <c r="A7" s="161" t="str">
        <f>기본사항!C2</f>
        <v>(재)한국여성재단</v>
      </c>
      <c r="B7" s="178"/>
      <c r="C7" s="178"/>
      <c r="D7" s="178"/>
      <c r="E7" s="178" t="s">
        <v>20</v>
      </c>
    </row>
    <row r="8" spans="1:5" s="1" customFormat="1" ht="12" customHeight="1">
      <c r="A8" s="161"/>
      <c r="B8" s="178"/>
      <c r="C8" s="178"/>
      <c r="D8" s="178"/>
      <c r="E8" s="178"/>
    </row>
    <row r="9" spans="1:5" s="1" customFormat="1" ht="34.5" customHeight="1">
      <c r="A9" s="144" t="s">
        <v>463</v>
      </c>
      <c r="B9" s="143" t="str">
        <f>기본사항!C3</f>
        <v>제  13  기</v>
      </c>
      <c r="C9" s="143"/>
      <c r="D9" s="143" t="str">
        <f>기본사항!C4</f>
        <v>제  12  기</v>
      </c>
      <c r="E9" s="143"/>
    </row>
    <row r="10" spans="1:5" s="1" customFormat="1" ht="22.5" customHeight="1">
      <c r="A10" s="179" t="s">
        <v>383</v>
      </c>
      <c r="B10" s="180"/>
      <c r="C10" s="180"/>
      <c r="D10" s="180"/>
      <c r="E10" s="180"/>
    </row>
    <row r="11" spans="1:5" s="1" customFormat="1" ht="22.5" customHeight="1">
      <c r="A11" s="181" t="s">
        <v>384</v>
      </c>
      <c r="B11" s="182" t="s">
        <v>385</v>
      </c>
      <c r="C11" s="180">
        <f>SUM(C12,C25)</f>
        <v>0</v>
      </c>
      <c r="D11" s="182" t="s">
        <v>385</v>
      </c>
      <c r="E11" s="180">
        <f>SUM(E12,E25)</f>
        <v>0</v>
      </c>
    </row>
    <row r="12" spans="1:5" s="1" customFormat="1" ht="22.5" customHeight="1">
      <c r="A12" s="181" t="s">
        <v>386</v>
      </c>
      <c r="B12" s="182" t="s">
        <v>385</v>
      </c>
      <c r="C12" s="180">
        <f>SUM(B13:B24)</f>
        <v>0</v>
      </c>
      <c r="D12" s="182" t="s">
        <v>385</v>
      </c>
      <c r="E12" s="180">
        <f>SUM(D13:D24)</f>
        <v>0</v>
      </c>
    </row>
    <row r="13" spans="1:5" s="1" customFormat="1" ht="22.5" customHeight="1">
      <c r="A13" s="181" t="s">
        <v>387</v>
      </c>
      <c r="B13" s="180"/>
      <c r="C13" s="182"/>
      <c r="D13" s="180"/>
      <c r="E13" s="182" t="s">
        <v>385</v>
      </c>
    </row>
    <row r="14" spans="1:5" s="1" customFormat="1" ht="22.5" customHeight="1">
      <c r="A14" s="181" t="s">
        <v>388</v>
      </c>
      <c r="B14" s="180"/>
      <c r="C14" s="182"/>
      <c r="D14" s="180"/>
      <c r="E14" s="182" t="s">
        <v>385</v>
      </c>
    </row>
    <row r="15" spans="1:5" s="1" customFormat="1" ht="22.5" customHeight="1">
      <c r="A15" s="181" t="s">
        <v>389</v>
      </c>
      <c r="B15" s="180"/>
      <c r="C15" s="182"/>
      <c r="D15" s="180"/>
      <c r="E15" s="182" t="s">
        <v>385</v>
      </c>
    </row>
    <row r="16" spans="1:5" s="1" customFormat="1" ht="22.5" customHeight="1">
      <c r="A16" s="181" t="s">
        <v>1040</v>
      </c>
      <c r="B16" s="180"/>
      <c r="C16" s="182"/>
      <c r="D16" s="180"/>
      <c r="E16" s="182" t="s">
        <v>385</v>
      </c>
    </row>
    <row r="17" spans="1:5" s="1" customFormat="1" ht="22.5" customHeight="1">
      <c r="A17" s="181" t="s">
        <v>390</v>
      </c>
      <c r="B17" s="180"/>
      <c r="C17" s="182"/>
      <c r="D17" s="180"/>
      <c r="E17" s="182" t="s">
        <v>385</v>
      </c>
    </row>
    <row r="18" spans="1:5" s="1" customFormat="1" ht="22.5" customHeight="1">
      <c r="A18" s="181" t="s">
        <v>391</v>
      </c>
      <c r="B18" s="180"/>
      <c r="C18" s="182"/>
      <c r="D18" s="180"/>
      <c r="E18" s="182" t="s">
        <v>385</v>
      </c>
    </row>
    <row r="19" spans="1:5" s="1" customFormat="1" ht="22.5" customHeight="1">
      <c r="A19" s="181" t="s">
        <v>392</v>
      </c>
      <c r="B19" s="180"/>
      <c r="C19" s="182"/>
      <c r="D19" s="180"/>
      <c r="E19" s="182" t="s">
        <v>385</v>
      </c>
    </row>
    <row r="20" spans="1:5" s="1" customFormat="1" ht="22.5" customHeight="1">
      <c r="A20" s="181" t="s">
        <v>393</v>
      </c>
      <c r="B20" s="180"/>
      <c r="C20" s="182"/>
      <c r="D20" s="180"/>
      <c r="E20" s="182" t="s">
        <v>385</v>
      </c>
    </row>
    <row r="21" spans="1:5" s="1" customFormat="1" ht="22.5" customHeight="1">
      <c r="A21" s="181" t="s">
        <v>394</v>
      </c>
      <c r="B21" s="180"/>
      <c r="C21" s="182"/>
      <c r="D21" s="180"/>
      <c r="E21" s="182" t="s">
        <v>385</v>
      </c>
    </row>
    <row r="22" spans="1:5" s="1" customFormat="1" ht="22.5" customHeight="1">
      <c r="A22" s="181" t="s">
        <v>1041</v>
      </c>
      <c r="B22" s="180"/>
      <c r="C22" s="182"/>
      <c r="D22" s="180"/>
      <c r="E22" s="182" t="s">
        <v>385</v>
      </c>
    </row>
    <row r="23" spans="1:5" s="1" customFormat="1" ht="22.5" customHeight="1">
      <c r="A23" s="181" t="s">
        <v>395</v>
      </c>
      <c r="B23" s="180"/>
      <c r="C23" s="182"/>
      <c r="D23" s="180"/>
      <c r="E23" s="182" t="s">
        <v>385</v>
      </c>
    </row>
    <row r="24" spans="1:5" s="1" customFormat="1" ht="22.5" customHeight="1">
      <c r="A24" s="181" t="s">
        <v>396</v>
      </c>
      <c r="B24" s="180"/>
      <c r="C24" s="182"/>
      <c r="D24" s="183"/>
      <c r="E24" s="182" t="s">
        <v>385</v>
      </c>
    </row>
    <row r="25" spans="1:5" s="1" customFormat="1" ht="22.5" customHeight="1">
      <c r="A25" s="181" t="s">
        <v>397</v>
      </c>
      <c r="B25" s="184" t="s">
        <v>385</v>
      </c>
      <c r="C25" s="180">
        <f>SUM(B26:B29)</f>
        <v>0</v>
      </c>
      <c r="D25" s="184" t="s">
        <v>385</v>
      </c>
      <c r="E25" s="180">
        <f>SUM(D26:D29)</f>
        <v>0</v>
      </c>
    </row>
    <row r="26" spans="1:5" s="1" customFormat="1" ht="22.5" customHeight="1">
      <c r="A26" s="181" t="s">
        <v>398</v>
      </c>
      <c r="B26" s="180"/>
      <c r="C26" s="182"/>
      <c r="D26" s="180"/>
      <c r="E26" s="182" t="s">
        <v>385</v>
      </c>
    </row>
    <row r="27" spans="1:5" s="1" customFormat="1" ht="22.5" customHeight="1">
      <c r="A27" s="181" t="s">
        <v>399</v>
      </c>
      <c r="B27" s="183"/>
      <c r="C27" s="182"/>
      <c r="D27" s="183"/>
      <c r="E27" s="182" t="s">
        <v>385</v>
      </c>
    </row>
    <row r="28" spans="1:5" s="1" customFormat="1" ht="22.5" customHeight="1">
      <c r="A28" s="181" t="s">
        <v>400</v>
      </c>
      <c r="B28" s="180"/>
      <c r="C28" s="182"/>
      <c r="D28" s="183"/>
      <c r="E28" s="182" t="s">
        <v>385</v>
      </c>
    </row>
    <row r="29" spans="1:5" s="1" customFormat="1" ht="22.5" customHeight="1">
      <c r="A29" s="181" t="s">
        <v>401</v>
      </c>
      <c r="B29" s="180"/>
      <c r="C29" s="182"/>
      <c r="D29" s="180"/>
      <c r="E29" s="182" t="s">
        <v>385</v>
      </c>
    </row>
    <row r="30" spans="1:5" s="1" customFormat="1" ht="22.5" customHeight="1">
      <c r="A30" s="181" t="s">
        <v>402</v>
      </c>
      <c r="B30" s="182" t="s">
        <v>385</v>
      </c>
      <c r="C30" s="180">
        <f>SUM(C31,C36,C54,C58)</f>
        <v>0</v>
      </c>
      <c r="D30" s="182" t="s">
        <v>385</v>
      </c>
      <c r="E30" s="180">
        <f>SUM(E31,E36,E54,E58)</f>
        <v>0</v>
      </c>
    </row>
    <row r="31" spans="1:5" s="1" customFormat="1" ht="22.5" customHeight="1">
      <c r="A31" s="181" t="s">
        <v>403</v>
      </c>
      <c r="B31" s="182" t="s">
        <v>385</v>
      </c>
      <c r="C31" s="180">
        <f>SUM(B32:B35)</f>
        <v>0</v>
      </c>
      <c r="D31" s="182" t="s">
        <v>385</v>
      </c>
      <c r="E31" s="180">
        <f>SUM(D32:D35)</f>
        <v>0</v>
      </c>
    </row>
    <row r="32" spans="1:5" s="1" customFormat="1" ht="22.5" customHeight="1">
      <c r="A32" s="181" t="s">
        <v>404</v>
      </c>
      <c r="B32" s="180"/>
      <c r="C32" s="182"/>
      <c r="D32" s="180"/>
      <c r="E32" s="182" t="s">
        <v>385</v>
      </c>
    </row>
    <row r="33" spans="1:5" s="1" customFormat="1" ht="22.5" customHeight="1">
      <c r="A33" s="181" t="s">
        <v>405</v>
      </c>
      <c r="B33" s="180"/>
      <c r="C33" s="182"/>
      <c r="D33" s="183"/>
      <c r="E33" s="182" t="s">
        <v>385</v>
      </c>
    </row>
    <row r="34" spans="1:5" s="1" customFormat="1" ht="22.5" customHeight="1">
      <c r="A34" s="181" t="s">
        <v>406</v>
      </c>
      <c r="B34" s="180"/>
      <c r="C34" s="185"/>
      <c r="D34" s="183"/>
      <c r="E34" s="185" t="s">
        <v>385</v>
      </c>
    </row>
    <row r="35" spans="1:5" s="1" customFormat="1" ht="22.5" customHeight="1">
      <c r="A35" s="181" t="s">
        <v>407</v>
      </c>
      <c r="B35" s="180"/>
      <c r="C35" s="182"/>
      <c r="D35" s="180"/>
      <c r="E35" s="182" t="s">
        <v>385</v>
      </c>
    </row>
    <row r="36" spans="1:5" s="1" customFormat="1" ht="22.5" customHeight="1">
      <c r="A36" s="181" t="s">
        <v>408</v>
      </c>
      <c r="B36" s="182" t="s">
        <v>385</v>
      </c>
      <c r="C36" s="180">
        <f>SUM(B37:B53)</f>
        <v>0</v>
      </c>
      <c r="D36" s="182" t="s">
        <v>385</v>
      </c>
      <c r="E36" s="180">
        <f>SUM(D37:D53)</f>
        <v>0</v>
      </c>
    </row>
    <row r="37" spans="1:5" s="1" customFormat="1" ht="22.5" customHeight="1">
      <c r="A37" s="181" t="s">
        <v>409</v>
      </c>
      <c r="B37" s="180"/>
      <c r="C37" s="182"/>
      <c r="D37" s="180"/>
      <c r="E37" s="182" t="s">
        <v>385</v>
      </c>
    </row>
    <row r="38" spans="1:5" s="1" customFormat="1" ht="22.5" customHeight="1">
      <c r="A38" s="181" t="s">
        <v>410</v>
      </c>
      <c r="B38" s="180"/>
      <c r="C38" s="182"/>
      <c r="D38" s="180"/>
      <c r="E38" s="182" t="s">
        <v>385</v>
      </c>
    </row>
    <row r="39" spans="1:5" s="1" customFormat="1" ht="22.5" customHeight="1">
      <c r="A39" s="181" t="str">
        <f>A38&amp;"감가상각누계액"</f>
        <v>2.건물감가상각누계액</v>
      </c>
      <c r="B39" s="180"/>
      <c r="C39" s="182"/>
      <c r="D39" s="180"/>
      <c r="E39" s="182" t="s">
        <v>385</v>
      </c>
    </row>
    <row r="40" spans="1:5" s="1" customFormat="1" ht="22.5" customHeight="1">
      <c r="A40" s="181" t="s">
        <v>411</v>
      </c>
      <c r="B40" s="180"/>
      <c r="C40" s="182"/>
      <c r="D40" s="180"/>
      <c r="E40" s="182" t="s">
        <v>385</v>
      </c>
    </row>
    <row r="41" spans="1:5" s="1" customFormat="1" ht="22.5" customHeight="1">
      <c r="A41" s="181" t="str">
        <f>A40&amp;"감가상각누계액"</f>
        <v>3.구축물감가상각누계액</v>
      </c>
      <c r="B41" s="180"/>
      <c r="C41" s="182"/>
      <c r="D41" s="180"/>
      <c r="E41" s="182" t="s">
        <v>385</v>
      </c>
    </row>
    <row r="42" spans="1:5" s="1" customFormat="1" ht="22.5" customHeight="1">
      <c r="A42" s="181" t="s">
        <v>412</v>
      </c>
      <c r="B42" s="186"/>
      <c r="C42" s="182"/>
      <c r="D42" s="186"/>
      <c r="E42" s="182" t="s">
        <v>385</v>
      </c>
    </row>
    <row r="43" spans="1:5" s="1" customFormat="1" ht="22.5" customHeight="1">
      <c r="A43" s="181" t="str">
        <f>A42&amp;"감가상각누계액"</f>
        <v>4.기계장치감가상각누계액</v>
      </c>
      <c r="B43" s="180"/>
      <c r="C43" s="182"/>
      <c r="D43" s="180"/>
      <c r="E43" s="182" t="s">
        <v>385</v>
      </c>
    </row>
    <row r="44" spans="1:5" s="1" customFormat="1" ht="22.5" customHeight="1">
      <c r="A44" s="181" t="s">
        <v>413</v>
      </c>
      <c r="B44" s="180"/>
      <c r="C44" s="182"/>
      <c r="D44" s="180"/>
      <c r="E44" s="182" t="s">
        <v>385</v>
      </c>
    </row>
    <row r="45" spans="1:5" s="1" customFormat="1" ht="22.5" customHeight="1">
      <c r="A45" s="181" t="str">
        <f>A44&amp;"감가상각누계액"</f>
        <v>5.차량운반구감가상각누계액</v>
      </c>
      <c r="B45" s="180"/>
      <c r="C45" s="182"/>
      <c r="D45" s="180"/>
      <c r="E45" s="182" t="s">
        <v>385</v>
      </c>
    </row>
    <row r="46" spans="1:5" s="1" customFormat="1" ht="22.5" customHeight="1">
      <c r="A46" s="181" t="s">
        <v>414</v>
      </c>
      <c r="B46" s="186"/>
      <c r="C46" s="182"/>
      <c r="D46" s="186"/>
      <c r="E46" s="182" t="s">
        <v>385</v>
      </c>
    </row>
    <row r="47" spans="1:5" s="1" customFormat="1" ht="22.5" customHeight="1">
      <c r="A47" s="181" t="str">
        <f>A46&amp;"감가상각누계액"</f>
        <v>6.공구와기구감가상각누계액</v>
      </c>
      <c r="B47" s="180"/>
      <c r="C47" s="182"/>
      <c r="D47" s="180"/>
      <c r="E47" s="182" t="s">
        <v>385</v>
      </c>
    </row>
    <row r="48" spans="1:5" s="1" customFormat="1" ht="22.5" customHeight="1">
      <c r="A48" s="181" t="s">
        <v>415</v>
      </c>
      <c r="B48" s="186"/>
      <c r="C48" s="182"/>
      <c r="D48" s="186"/>
      <c r="E48" s="182" t="s">
        <v>385</v>
      </c>
    </row>
    <row r="49" spans="1:5" s="1" customFormat="1" ht="22.5" customHeight="1">
      <c r="A49" s="181" t="str">
        <f>A48&amp;"감가상각누계액"</f>
        <v>7.비품감가상각누계액</v>
      </c>
      <c r="B49" s="180"/>
      <c r="C49" s="182"/>
      <c r="D49" s="180"/>
      <c r="E49" s="182" t="s">
        <v>385</v>
      </c>
    </row>
    <row r="50" spans="1:5" s="1" customFormat="1" ht="22.5" customHeight="1">
      <c r="A50" s="181" t="s">
        <v>416</v>
      </c>
      <c r="B50" s="186"/>
      <c r="C50" s="182"/>
      <c r="D50" s="186"/>
      <c r="E50" s="182" t="s">
        <v>385</v>
      </c>
    </row>
    <row r="51" spans="1:5" s="1" customFormat="1" ht="22.5" customHeight="1">
      <c r="A51" s="181" t="str">
        <f>A50&amp;"감가상각누계액"</f>
        <v>8.시설장치감가상각누계액</v>
      </c>
      <c r="B51" s="180"/>
      <c r="C51" s="182"/>
      <c r="D51" s="180"/>
      <c r="E51" s="182" t="s">
        <v>385</v>
      </c>
    </row>
    <row r="52" spans="1:5" s="1" customFormat="1" ht="22.5" customHeight="1">
      <c r="A52" s="181" t="s">
        <v>417</v>
      </c>
      <c r="B52" s="186"/>
      <c r="C52" s="182"/>
      <c r="D52" s="186"/>
      <c r="E52" s="182" t="s">
        <v>385</v>
      </c>
    </row>
    <row r="53" spans="1:5" s="1" customFormat="1" ht="22.5" customHeight="1">
      <c r="A53" s="181" t="str">
        <f>A52&amp;"감가상각누계액"</f>
        <v>9.금형감가상각누계액</v>
      </c>
      <c r="B53" s="180"/>
      <c r="C53" s="182"/>
      <c r="D53" s="187"/>
      <c r="E53" s="182" t="s">
        <v>385</v>
      </c>
    </row>
    <row r="54" spans="1:5" s="1" customFormat="1" ht="22.5" customHeight="1">
      <c r="A54" s="181" t="s">
        <v>418</v>
      </c>
      <c r="B54" s="184" t="s">
        <v>385</v>
      </c>
      <c r="C54" s="180">
        <f>SUM(B55:B57)</f>
        <v>0</v>
      </c>
      <c r="D54" s="184" t="s">
        <v>385</v>
      </c>
      <c r="E54" s="180">
        <f>SUM(D55:D57)</f>
        <v>0</v>
      </c>
    </row>
    <row r="55" spans="1:5" s="1" customFormat="1" ht="22.5" customHeight="1">
      <c r="A55" s="181" t="s">
        <v>419</v>
      </c>
      <c r="B55" s="180"/>
      <c r="C55" s="182"/>
      <c r="D55" s="180"/>
      <c r="E55" s="182" t="s">
        <v>385</v>
      </c>
    </row>
    <row r="56" spans="1:5" s="1" customFormat="1" ht="22.5" customHeight="1">
      <c r="A56" s="181" t="s">
        <v>460</v>
      </c>
      <c r="B56" s="180"/>
      <c r="C56" s="182"/>
      <c r="D56" s="180"/>
      <c r="E56" s="182"/>
    </row>
    <row r="57" spans="1:5" s="1" customFormat="1" ht="22.5" customHeight="1">
      <c r="A57" s="181" t="s">
        <v>461</v>
      </c>
      <c r="B57" s="180"/>
      <c r="C57" s="182"/>
      <c r="D57" s="180"/>
      <c r="E57" s="182"/>
    </row>
    <row r="58" spans="1:5" s="1" customFormat="1" ht="22.5" customHeight="1">
      <c r="A58" s="181" t="s">
        <v>420</v>
      </c>
      <c r="B58" s="184" t="s">
        <v>385</v>
      </c>
      <c r="C58" s="180">
        <f>SUM(B59:B61)</f>
        <v>0</v>
      </c>
      <c r="D58" s="184" t="s">
        <v>385</v>
      </c>
      <c r="E58" s="180">
        <f>SUM(D59:D61)</f>
        <v>0</v>
      </c>
    </row>
    <row r="59" spans="1:5" s="1" customFormat="1" ht="22.5" customHeight="1">
      <c r="A59" s="181" t="s">
        <v>421</v>
      </c>
      <c r="B59" s="180"/>
      <c r="C59" s="182"/>
      <c r="D59" s="180"/>
      <c r="E59" s="182" t="s">
        <v>385</v>
      </c>
    </row>
    <row r="60" spans="1:5" s="1" customFormat="1" ht="22.5" customHeight="1">
      <c r="A60" s="181" t="s">
        <v>422</v>
      </c>
      <c r="B60" s="183"/>
      <c r="C60" s="182"/>
      <c r="D60" s="183"/>
      <c r="E60" s="182" t="s">
        <v>385</v>
      </c>
    </row>
    <row r="61" spans="1:5" s="1" customFormat="1" ht="22.5" customHeight="1">
      <c r="A61" s="181" t="s">
        <v>423</v>
      </c>
      <c r="B61" s="180"/>
      <c r="C61" s="182"/>
      <c r="D61" s="180"/>
      <c r="E61" s="182" t="s">
        <v>385</v>
      </c>
    </row>
    <row r="62" spans="1:5" s="1" customFormat="1" ht="22.5" customHeight="1" thickBot="1">
      <c r="A62" s="179" t="s">
        <v>424</v>
      </c>
      <c r="B62" s="184" t="s">
        <v>385</v>
      </c>
      <c r="C62" s="188">
        <f>SUM(C11,C30)</f>
        <v>0</v>
      </c>
      <c r="D62" s="184" t="s">
        <v>385</v>
      </c>
      <c r="E62" s="188">
        <f>SUM(E11,E30)</f>
        <v>0</v>
      </c>
    </row>
    <row r="63" spans="1:5" s="1" customFormat="1" ht="22.5" customHeight="1" thickTop="1">
      <c r="A63" s="179" t="s">
        <v>425</v>
      </c>
      <c r="B63" s="182" t="s">
        <v>385</v>
      </c>
      <c r="C63" s="182" t="s">
        <v>385</v>
      </c>
      <c r="D63" s="182" t="s">
        <v>385</v>
      </c>
      <c r="E63" s="182" t="s">
        <v>385</v>
      </c>
    </row>
    <row r="64" spans="1:5" s="1" customFormat="1" ht="22.5" customHeight="1">
      <c r="A64" s="181" t="s">
        <v>426</v>
      </c>
      <c r="B64" s="182" t="s">
        <v>385</v>
      </c>
      <c r="C64" s="180">
        <f>SUM(B65:B73)</f>
        <v>0</v>
      </c>
      <c r="D64" s="182" t="s">
        <v>385</v>
      </c>
      <c r="E64" s="180">
        <f>SUM(D65:D73)</f>
        <v>0</v>
      </c>
    </row>
    <row r="65" spans="1:5" s="1" customFormat="1" ht="22.5" customHeight="1">
      <c r="A65" s="181" t="s">
        <v>427</v>
      </c>
      <c r="B65" s="180"/>
      <c r="C65" s="184"/>
      <c r="D65" s="180"/>
      <c r="E65" s="189" t="s">
        <v>385</v>
      </c>
    </row>
    <row r="66" spans="1:5" s="1" customFormat="1" ht="22.5" customHeight="1">
      <c r="A66" s="181" t="s">
        <v>428</v>
      </c>
      <c r="B66" s="180"/>
      <c r="C66" s="184"/>
      <c r="D66" s="180"/>
      <c r="E66" s="182" t="s">
        <v>385</v>
      </c>
    </row>
    <row r="67" spans="1:5" s="1" customFormat="1" ht="22.5" customHeight="1">
      <c r="A67" s="181" t="s">
        <v>429</v>
      </c>
      <c r="B67" s="180"/>
      <c r="C67" s="184"/>
      <c r="D67" s="180"/>
      <c r="E67" s="182" t="s">
        <v>385</v>
      </c>
    </row>
    <row r="68" spans="1:5" s="1" customFormat="1" ht="22.5" customHeight="1">
      <c r="A68" s="181" t="s">
        <v>430</v>
      </c>
      <c r="B68" s="180"/>
      <c r="C68" s="184"/>
      <c r="D68" s="180"/>
      <c r="E68" s="182" t="s">
        <v>385</v>
      </c>
    </row>
    <row r="69" spans="1:5" s="1" customFormat="1" ht="22.5" customHeight="1">
      <c r="A69" s="181" t="s">
        <v>431</v>
      </c>
      <c r="B69" s="180"/>
      <c r="C69" s="182"/>
      <c r="D69" s="180"/>
      <c r="E69" s="182" t="s">
        <v>385</v>
      </c>
    </row>
    <row r="70" spans="1:5" s="1" customFormat="1" ht="22.5" customHeight="1">
      <c r="A70" s="181" t="s">
        <v>432</v>
      </c>
      <c r="B70" s="180"/>
      <c r="C70" s="182"/>
      <c r="D70" s="180"/>
      <c r="E70" s="182" t="s">
        <v>385</v>
      </c>
    </row>
    <row r="71" spans="1:5" s="1" customFormat="1" ht="22.5" customHeight="1">
      <c r="A71" s="181" t="s">
        <v>433</v>
      </c>
      <c r="B71" s="180"/>
      <c r="C71" s="182"/>
      <c r="D71" s="180"/>
      <c r="E71" s="182" t="s">
        <v>385</v>
      </c>
    </row>
    <row r="72" spans="1:5" s="1" customFormat="1" ht="22.5" customHeight="1">
      <c r="A72" s="181" t="s">
        <v>434</v>
      </c>
      <c r="B72" s="180"/>
      <c r="C72" s="182"/>
      <c r="D72" s="180"/>
      <c r="E72" s="182" t="s">
        <v>385</v>
      </c>
    </row>
    <row r="73" spans="1:5" s="1" customFormat="1" ht="22.5" customHeight="1">
      <c r="A73" s="181" t="s">
        <v>435</v>
      </c>
      <c r="B73" s="180"/>
      <c r="C73" s="182"/>
      <c r="D73" s="180"/>
      <c r="E73" s="182" t="s">
        <v>385</v>
      </c>
    </row>
    <row r="74" spans="1:5" s="1" customFormat="1" ht="22.5" customHeight="1">
      <c r="A74" s="181" t="s">
        <v>436</v>
      </c>
      <c r="B74" s="182" t="s">
        <v>385</v>
      </c>
      <c r="C74" s="180">
        <f>SUM(B75:B80)</f>
        <v>0</v>
      </c>
      <c r="D74" s="182" t="s">
        <v>385</v>
      </c>
      <c r="E74" s="180">
        <f>SUM(D75:D80)</f>
        <v>0</v>
      </c>
    </row>
    <row r="75" spans="1:5" s="1" customFormat="1" ht="22.5" customHeight="1">
      <c r="A75" s="181" t="s">
        <v>437</v>
      </c>
      <c r="B75" s="180"/>
      <c r="C75" s="182"/>
      <c r="D75" s="180"/>
      <c r="E75" s="182" t="s">
        <v>385</v>
      </c>
    </row>
    <row r="76" spans="1:5" s="1" customFormat="1" ht="22.5" customHeight="1">
      <c r="A76" s="181" t="s">
        <v>438</v>
      </c>
      <c r="B76" s="180"/>
      <c r="C76" s="182"/>
      <c r="D76" s="180"/>
      <c r="E76" s="182" t="s">
        <v>385</v>
      </c>
    </row>
    <row r="77" spans="1:5" s="1" customFormat="1" ht="22.5" customHeight="1">
      <c r="A77" s="181" t="s">
        <v>439</v>
      </c>
      <c r="B77" s="180"/>
      <c r="C77" s="182"/>
      <c r="D77" s="180"/>
      <c r="E77" s="182" t="s">
        <v>385</v>
      </c>
    </row>
    <row r="78" spans="1:5" s="1" customFormat="1" ht="22.5" customHeight="1">
      <c r="A78" s="181" t="s">
        <v>440</v>
      </c>
      <c r="B78" s="180"/>
      <c r="C78" s="182"/>
      <c r="D78" s="180"/>
      <c r="E78" s="182" t="s">
        <v>385</v>
      </c>
    </row>
    <row r="79" spans="1:5" s="1" customFormat="1" ht="22.5" customHeight="1">
      <c r="A79" s="179" t="s">
        <v>462</v>
      </c>
      <c r="B79" s="180"/>
      <c r="C79" s="182"/>
      <c r="D79" s="180"/>
      <c r="E79" s="182" t="s">
        <v>385</v>
      </c>
    </row>
    <row r="80" spans="1:5" s="1" customFormat="1" ht="22.5" customHeight="1">
      <c r="A80" s="181" t="s">
        <v>441</v>
      </c>
      <c r="B80" s="190"/>
      <c r="C80" s="182"/>
      <c r="D80" s="190"/>
      <c r="E80" s="189" t="s">
        <v>385</v>
      </c>
    </row>
    <row r="81" spans="1:5" s="1" customFormat="1" ht="22.5" customHeight="1">
      <c r="A81" s="179" t="s">
        <v>442</v>
      </c>
      <c r="B81" s="189" t="s">
        <v>385</v>
      </c>
      <c r="C81" s="180">
        <f>SUM(C64,C74)</f>
        <v>0</v>
      </c>
      <c r="D81" s="189" t="s">
        <v>385</v>
      </c>
      <c r="E81" s="180">
        <f>SUM(E64,E74)</f>
        <v>0</v>
      </c>
    </row>
    <row r="82" spans="1:5" s="1" customFormat="1" ht="22.5" customHeight="1">
      <c r="A82" s="179" t="s">
        <v>443</v>
      </c>
      <c r="B82" s="189" t="s">
        <v>385</v>
      </c>
      <c r="C82" s="182" t="s">
        <v>385</v>
      </c>
      <c r="D82" s="189" t="s">
        <v>385</v>
      </c>
      <c r="E82" s="189" t="s">
        <v>385</v>
      </c>
    </row>
    <row r="83" spans="1:5" s="1" customFormat="1" ht="22.5" customHeight="1">
      <c r="A83" s="181" t="s">
        <v>444</v>
      </c>
      <c r="B83" s="184" t="s">
        <v>385</v>
      </c>
      <c r="C83" s="180">
        <f>SUM(B84)</f>
        <v>0</v>
      </c>
      <c r="D83" s="182" t="s">
        <v>385</v>
      </c>
      <c r="E83" s="180">
        <f>SUM(D84)</f>
        <v>0</v>
      </c>
    </row>
    <row r="84" spans="1:5" s="1" customFormat="1" ht="22.5" customHeight="1">
      <c r="A84" s="181" t="s">
        <v>445</v>
      </c>
      <c r="B84" s="183"/>
      <c r="C84" s="184"/>
      <c r="D84" s="180"/>
      <c r="E84" s="182" t="s">
        <v>385</v>
      </c>
    </row>
    <row r="85" spans="1:5" s="1" customFormat="1" ht="22.5" customHeight="1">
      <c r="A85" s="181" t="s">
        <v>446</v>
      </c>
      <c r="B85" s="184" t="s">
        <v>385</v>
      </c>
      <c r="C85" s="183">
        <f>SUM(B86)</f>
        <v>0</v>
      </c>
      <c r="D85" s="182" t="s">
        <v>385</v>
      </c>
      <c r="E85" s="183">
        <f>SUM(D86)</f>
        <v>0</v>
      </c>
    </row>
    <row r="86" spans="1:5" s="1" customFormat="1" ht="22.5" customHeight="1">
      <c r="A86" s="181" t="s">
        <v>447</v>
      </c>
      <c r="B86" s="183"/>
      <c r="C86" s="182"/>
      <c r="D86" s="180"/>
      <c r="E86" s="182" t="s">
        <v>385</v>
      </c>
    </row>
    <row r="87" spans="1:5" s="1" customFormat="1" ht="22.5" customHeight="1">
      <c r="A87" s="181" t="s">
        <v>448</v>
      </c>
      <c r="B87" s="184" t="s">
        <v>385</v>
      </c>
      <c r="C87" s="180">
        <f>SUM(B88:B90)</f>
        <v>0</v>
      </c>
      <c r="D87" s="182" t="s">
        <v>385</v>
      </c>
      <c r="E87" s="180">
        <f>SUM(D88:D90)</f>
        <v>0</v>
      </c>
    </row>
    <row r="88" spans="1:5" s="1" customFormat="1" ht="22.5" customHeight="1">
      <c r="A88" s="181" t="s">
        <v>449</v>
      </c>
      <c r="B88" s="183"/>
      <c r="C88" s="182"/>
      <c r="D88" s="180"/>
      <c r="E88" s="182" t="s">
        <v>385</v>
      </c>
    </row>
    <row r="89" spans="1:5" s="1" customFormat="1" ht="22.5" customHeight="1">
      <c r="A89" s="181" t="s">
        <v>450</v>
      </c>
      <c r="B89" s="183"/>
      <c r="C89" s="182"/>
      <c r="D89" s="180"/>
      <c r="E89" s="182" t="s">
        <v>385</v>
      </c>
    </row>
    <row r="90" spans="1:5" s="1" customFormat="1" ht="22.5" customHeight="1">
      <c r="A90" s="181" t="s">
        <v>451</v>
      </c>
      <c r="B90" s="183"/>
      <c r="C90" s="182"/>
      <c r="D90" s="180"/>
      <c r="E90" s="182" t="s">
        <v>385</v>
      </c>
    </row>
    <row r="91" spans="1:5" s="1" customFormat="1" ht="22.5" customHeight="1">
      <c r="A91" s="181" t="s">
        <v>452</v>
      </c>
      <c r="B91" s="184" t="s">
        <v>385</v>
      </c>
      <c r="C91" s="180">
        <f>SUM(B92:B96)</f>
        <v>0</v>
      </c>
      <c r="D91" s="182" t="s">
        <v>385</v>
      </c>
      <c r="E91" s="180">
        <f>SUM(D92:D96)</f>
        <v>0</v>
      </c>
    </row>
    <row r="92" spans="1:5" s="1" customFormat="1" ht="22.5" customHeight="1">
      <c r="A92" s="181" t="s">
        <v>453</v>
      </c>
      <c r="B92" s="183"/>
      <c r="C92" s="182"/>
      <c r="D92" s="180"/>
      <c r="E92" s="182" t="s">
        <v>385</v>
      </c>
    </row>
    <row r="93" spans="1:5" s="1" customFormat="1" ht="22.5" customHeight="1">
      <c r="A93" s="191" t="s">
        <v>454</v>
      </c>
      <c r="B93" s="183"/>
      <c r="C93" s="182"/>
      <c r="D93" s="180"/>
      <c r="E93" s="182" t="s">
        <v>385</v>
      </c>
    </row>
    <row r="94" spans="1:5" s="1" customFormat="1" ht="22.5" customHeight="1">
      <c r="A94" s="181" t="s">
        <v>455</v>
      </c>
      <c r="B94" s="183"/>
      <c r="C94" s="182"/>
      <c r="D94" s="180"/>
      <c r="E94" s="182" t="s">
        <v>385</v>
      </c>
    </row>
    <row r="95" spans="1:5" s="1" customFormat="1" ht="22.5" customHeight="1">
      <c r="A95" s="191" t="s">
        <v>456</v>
      </c>
      <c r="B95" s="183"/>
      <c r="C95" s="182"/>
      <c r="D95" s="180"/>
      <c r="E95" s="182" t="s">
        <v>385</v>
      </c>
    </row>
    <row r="96" spans="1:5" s="1" customFormat="1" ht="22.5" customHeight="1">
      <c r="A96" s="181" t="s">
        <v>457</v>
      </c>
      <c r="B96" s="183"/>
      <c r="C96" s="192"/>
      <c r="D96" s="180"/>
      <c r="E96" s="192" t="s">
        <v>385</v>
      </c>
    </row>
    <row r="97" spans="1:5" s="1" customFormat="1" ht="22.5" customHeight="1">
      <c r="A97" s="179" t="s">
        <v>458</v>
      </c>
      <c r="B97" s="182" t="s">
        <v>385</v>
      </c>
      <c r="C97" s="180">
        <f>SUM(C83,C85,C87,C91)</f>
        <v>0</v>
      </c>
      <c r="D97" s="182" t="s">
        <v>385</v>
      </c>
      <c r="E97" s="180">
        <f>SUM(E83,E85,E87,E91)</f>
        <v>0</v>
      </c>
    </row>
    <row r="98" spans="1:5" s="1" customFormat="1" ht="22.5" customHeight="1" thickBot="1">
      <c r="A98" s="193" t="s">
        <v>459</v>
      </c>
      <c r="B98" s="184" t="s">
        <v>385</v>
      </c>
      <c r="C98" s="188">
        <f>SUM(C81,C97)</f>
        <v>0</v>
      </c>
      <c r="D98" s="184" t="s">
        <v>385</v>
      </c>
      <c r="E98" s="188">
        <f>SUM(E81,E97)</f>
        <v>0</v>
      </c>
    </row>
    <row r="99" spans="1:5" s="1" customFormat="1" ht="22.5" customHeight="1" thickTop="1">
      <c r="A99" s="194"/>
      <c r="B99" s="192"/>
      <c r="C99" s="186"/>
      <c r="D99" s="192"/>
      <c r="E99" s="186"/>
    </row>
    <row r="100" spans="1:5" s="1" customFormat="1" ht="16.5" customHeight="1">
      <c r="A100" s="195"/>
      <c r="B100" s="196"/>
      <c r="C100" s="196">
        <f>C98-C62</f>
        <v>0</v>
      </c>
      <c r="D100" s="196"/>
      <c r="E100" s="196">
        <f>E98-E62</f>
        <v>0</v>
      </c>
    </row>
    <row r="101" spans="1:5" s="1" customFormat="1" ht="22.5" customHeight="1">
      <c r="A101" s="197" t="s">
        <v>50</v>
      </c>
      <c r="B101" s="197"/>
      <c r="C101" s="197"/>
      <c r="D101" s="197"/>
      <c r="E101" s="197"/>
    </row>
    <row r="102" spans="1:5" s="155" customFormat="1" ht="31.5" customHeight="1">
      <c r="A102" s="3" t="s">
        <v>51</v>
      </c>
      <c r="B102" s="175"/>
      <c r="C102" s="175"/>
      <c r="D102" s="175"/>
      <c r="E102" s="175"/>
    </row>
    <row r="103" spans="1:5" s="155" customFormat="1" ht="12" customHeight="1">
      <c r="A103" s="176"/>
      <c r="B103" s="175"/>
      <c r="C103" s="175"/>
      <c r="D103" s="175"/>
      <c r="E103" s="175"/>
    </row>
    <row r="104" spans="1:5" s="158" customFormat="1" ht="12" customHeight="1">
      <c r="A104" s="157" t="str">
        <f>기본사항!C7</f>
        <v>제  13  기  2011년 1월 1일부터  2011년 12월 31일까지</v>
      </c>
      <c r="B104" s="177"/>
      <c r="C104" s="177"/>
      <c r="D104" s="177"/>
      <c r="E104" s="177"/>
    </row>
    <row r="105" spans="1:5" s="158" customFormat="1" ht="15.75" customHeight="1">
      <c r="A105" s="157" t="str">
        <f>기본사항!C8</f>
        <v>제  12  기  2010년 1월 1일부터  2010년 12월 31일까지</v>
      </c>
      <c r="B105" s="177"/>
      <c r="C105" s="177"/>
      <c r="D105" s="177"/>
      <c r="E105" s="177"/>
    </row>
    <row r="106" spans="1:5" s="158" customFormat="1" ht="12" customHeight="1">
      <c r="A106" s="157"/>
      <c r="B106" s="177"/>
      <c r="C106" s="177"/>
      <c r="D106" s="177"/>
      <c r="E106" s="177"/>
    </row>
    <row r="107" spans="1:5" s="1" customFormat="1" ht="12" customHeight="1">
      <c r="A107" s="159"/>
      <c r="B107" s="178"/>
      <c r="C107" s="178"/>
      <c r="D107" s="178"/>
      <c r="E107" s="178"/>
    </row>
    <row r="108" spans="1:5" s="1" customFormat="1" ht="12" customHeight="1">
      <c r="A108" s="161" t="str">
        <f>기본사항!C2</f>
        <v>(재)한국여성재단</v>
      </c>
      <c r="B108" s="178"/>
      <c r="C108" s="178"/>
      <c r="D108" s="178"/>
      <c r="E108" s="178" t="s">
        <v>20</v>
      </c>
    </row>
    <row r="109" spans="1:5" s="1" customFormat="1" ht="12" customHeight="1">
      <c r="A109" s="161"/>
      <c r="B109" s="178"/>
      <c r="C109" s="178"/>
      <c r="D109" s="178"/>
      <c r="E109" s="178"/>
    </row>
    <row r="110" spans="1:5" s="1" customFormat="1" ht="34.5" customHeight="1">
      <c r="A110" s="144" t="str">
        <f>$A$9</f>
        <v>과     목</v>
      </c>
      <c r="B110" s="143" t="str">
        <f>기본사항!C3</f>
        <v>제  13  기</v>
      </c>
      <c r="C110" s="143"/>
      <c r="D110" s="143" t="str">
        <f>기본사항!C4</f>
        <v>제  12  기</v>
      </c>
      <c r="E110" s="143"/>
    </row>
    <row r="111" spans="1:5" s="1" customFormat="1" ht="22.5" customHeight="1">
      <c r="A111" s="198" t="s">
        <v>464</v>
      </c>
      <c r="B111" s="182" t="s">
        <v>385</v>
      </c>
      <c r="C111" s="180">
        <f>SUM(B112:B114)</f>
        <v>0</v>
      </c>
      <c r="D111" s="182" t="s">
        <v>385</v>
      </c>
      <c r="E111" s="180">
        <f>SUM(D112:D114)</f>
        <v>0</v>
      </c>
    </row>
    <row r="112" spans="1:5" s="1" customFormat="1" ht="22.5" customHeight="1">
      <c r="A112" s="181" t="s">
        <v>465</v>
      </c>
      <c r="B112" s="180"/>
      <c r="C112" s="182"/>
      <c r="D112" s="180"/>
      <c r="E112" s="182" t="s">
        <v>385</v>
      </c>
    </row>
    <row r="113" spans="1:5" s="1" customFormat="1" ht="22.5" customHeight="1">
      <c r="A113" s="181" t="s">
        <v>466</v>
      </c>
      <c r="B113" s="180"/>
      <c r="C113" s="182"/>
      <c r="D113" s="180"/>
      <c r="E113" s="182" t="s">
        <v>385</v>
      </c>
    </row>
    <row r="114" spans="1:5" s="1" customFormat="1" ht="22.5" customHeight="1">
      <c r="A114" s="181" t="s">
        <v>467</v>
      </c>
      <c r="B114" s="180"/>
      <c r="C114" s="182"/>
      <c r="D114" s="180"/>
      <c r="E114" s="182" t="s">
        <v>385</v>
      </c>
    </row>
    <row r="115" spans="1:5" s="1" customFormat="1" ht="22.5" customHeight="1">
      <c r="A115" s="181" t="s">
        <v>468</v>
      </c>
      <c r="B115" s="182" t="s">
        <v>385</v>
      </c>
      <c r="C115" s="180">
        <f>SUM(B116)</f>
        <v>0</v>
      </c>
      <c r="D115" s="182" t="s">
        <v>385</v>
      </c>
      <c r="E115" s="180">
        <f>SUM(D116)</f>
        <v>0</v>
      </c>
    </row>
    <row r="116" spans="1:5" s="1" customFormat="1" ht="22.5" customHeight="1">
      <c r="A116" s="181" t="s">
        <v>469</v>
      </c>
      <c r="B116" s="180">
        <f>SUM(B117:B119)</f>
        <v>0</v>
      </c>
      <c r="C116" s="182" t="s">
        <v>385</v>
      </c>
      <c r="D116" s="180">
        <f>SUM(D117:D119)</f>
        <v>0</v>
      </c>
      <c r="E116" s="182" t="s">
        <v>385</v>
      </c>
    </row>
    <row r="117" spans="1:5" s="1" customFormat="1" ht="22.5" customHeight="1">
      <c r="A117" s="181" t="s">
        <v>470</v>
      </c>
      <c r="B117" s="180"/>
      <c r="C117" s="182"/>
      <c r="D117" s="180"/>
      <c r="E117" s="182" t="s">
        <v>385</v>
      </c>
    </row>
    <row r="118" spans="1:5" s="1" customFormat="1" ht="22.5" customHeight="1">
      <c r="A118" s="181" t="s">
        <v>471</v>
      </c>
      <c r="B118" s="180"/>
      <c r="C118" s="182"/>
      <c r="D118" s="180"/>
      <c r="E118" s="182" t="s">
        <v>385</v>
      </c>
    </row>
    <row r="119" spans="1:5" s="1" customFormat="1" ht="22.5" customHeight="1">
      <c r="A119" s="181" t="s">
        <v>472</v>
      </c>
      <c r="B119" s="180"/>
      <c r="C119" s="182"/>
      <c r="D119" s="180"/>
      <c r="E119" s="182" t="s">
        <v>385</v>
      </c>
    </row>
    <row r="120" spans="1:5" s="1" customFormat="1" ht="22.5" customHeight="1">
      <c r="A120" s="181" t="s">
        <v>473</v>
      </c>
      <c r="B120" s="182" t="s">
        <v>385</v>
      </c>
      <c r="C120" s="180">
        <f>SUM(C111,-C115)</f>
        <v>0</v>
      </c>
      <c r="D120" s="182" t="s">
        <v>385</v>
      </c>
      <c r="E120" s="180">
        <f>SUM(E111,-E115)</f>
        <v>0</v>
      </c>
    </row>
    <row r="121" spans="1:5" s="1" customFormat="1" ht="22.5" customHeight="1">
      <c r="A121" s="181" t="s">
        <v>474</v>
      </c>
      <c r="B121" s="182" t="s">
        <v>385</v>
      </c>
      <c r="C121" s="180">
        <f>SUM(B122:B141)</f>
        <v>0</v>
      </c>
      <c r="D121" s="182" t="s">
        <v>385</v>
      </c>
      <c r="E121" s="180">
        <f>SUM(D122:D141)</f>
        <v>0</v>
      </c>
    </row>
    <row r="122" spans="1:5" s="1" customFormat="1" ht="22.5" customHeight="1">
      <c r="A122" s="181" t="s">
        <v>475</v>
      </c>
      <c r="B122" s="180"/>
      <c r="C122" s="182"/>
      <c r="D122" s="180"/>
      <c r="E122" s="182" t="s">
        <v>385</v>
      </c>
    </row>
    <row r="123" spans="1:5" s="1" customFormat="1" ht="22.5" customHeight="1">
      <c r="A123" s="181" t="s">
        <v>476</v>
      </c>
      <c r="B123" s="180"/>
      <c r="C123" s="182"/>
      <c r="D123" s="180"/>
      <c r="E123" s="182" t="s">
        <v>385</v>
      </c>
    </row>
    <row r="124" spans="1:5" s="1" customFormat="1" ht="22.5" customHeight="1">
      <c r="A124" s="181" t="s">
        <v>477</v>
      </c>
      <c r="B124" s="180"/>
      <c r="C124" s="182"/>
      <c r="D124" s="180"/>
      <c r="E124" s="182" t="s">
        <v>385</v>
      </c>
    </row>
    <row r="125" spans="1:5" s="1" customFormat="1" ht="22.5" customHeight="1">
      <c r="A125" s="181" t="s">
        <v>478</v>
      </c>
      <c r="B125" s="180"/>
      <c r="C125" s="182"/>
      <c r="D125" s="180"/>
      <c r="E125" s="182" t="s">
        <v>385</v>
      </c>
    </row>
    <row r="126" spans="1:5" s="1" customFormat="1" ht="22.5" customHeight="1">
      <c r="A126" s="181" t="s">
        <v>479</v>
      </c>
      <c r="B126" s="180"/>
      <c r="C126" s="182"/>
      <c r="D126" s="180"/>
      <c r="E126" s="182" t="s">
        <v>385</v>
      </c>
    </row>
    <row r="127" spans="1:5" s="1" customFormat="1" ht="22.5" customHeight="1">
      <c r="A127" s="181" t="s">
        <v>480</v>
      </c>
      <c r="B127" s="180"/>
      <c r="C127" s="182"/>
      <c r="D127" s="180"/>
      <c r="E127" s="182" t="s">
        <v>385</v>
      </c>
    </row>
    <row r="128" spans="1:5" s="1" customFormat="1" ht="22.5" customHeight="1">
      <c r="A128" s="181" t="s">
        <v>481</v>
      </c>
      <c r="B128" s="180"/>
      <c r="C128" s="182"/>
      <c r="D128" s="180"/>
      <c r="E128" s="182" t="s">
        <v>385</v>
      </c>
    </row>
    <row r="129" spans="1:5" s="1" customFormat="1" ht="22.5" customHeight="1">
      <c r="A129" s="181" t="s">
        <v>482</v>
      </c>
      <c r="B129" s="180"/>
      <c r="C129" s="182"/>
      <c r="D129" s="180"/>
      <c r="E129" s="182" t="s">
        <v>385</v>
      </c>
    </row>
    <row r="130" spans="1:5" s="1" customFormat="1" ht="22.5" customHeight="1">
      <c r="A130" s="181" t="s">
        <v>483</v>
      </c>
      <c r="B130" s="180"/>
      <c r="C130" s="182"/>
      <c r="D130" s="180"/>
      <c r="E130" s="182" t="s">
        <v>385</v>
      </c>
    </row>
    <row r="131" spans="1:5" s="1" customFormat="1" ht="22.5" customHeight="1">
      <c r="A131" s="181" t="s">
        <v>484</v>
      </c>
      <c r="B131" s="180"/>
      <c r="C131" s="182"/>
      <c r="D131" s="180"/>
      <c r="E131" s="182" t="s">
        <v>385</v>
      </c>
    </row>
    <row r="132" spans="1:5" s="1" customFormat="1" ht="22.5" customHeight="1">
      <c r="A132" s="181" t="s">
        <v>485</v>
      </c>
      <c r="B132" s="180"/>
      <c r="C132" s="182"/>
      <c r="D132" s="180"/>
      <c r="E132" s="182" t="s">
        <v>385</v>
      </c>
    </row>
    <row r="133" spans="1:5" s="1" customFormat="1" ht="22.5" customHeight="1">
      <c r="A133" s="181" t="s">
        <v>486</v>
      </c>
      <c r="B133" s="180"/>
      <c r="C133" s="182"/>
      <c r="D133" s="180"/>
      <c r="E133" s="182" t="s">
        <v>385</v>
      </c>
    </row>
    <row r="134" spans="1:5" s="1" customFormat="1" ht="22.5" customHeight="1">
      <c r="A134" s="181" t="s">
        <v>487</v>
      </c>
      <c r="B134" s="180"/>
      <c r="C134" s="199"/>
      <c r="D134" s="180"/>
      <c r="E134" s="199" t="s">
        <v>385</v>
      </c>
    </row>
    <row r="135" spans="1:5" s="1" customFormat="1" ht="22.5" customHeight="1">
      <c r="A135" s="181" t="s">
        <v>488</v>
      </c>
      <c r="B135" s="180"/>
      <c r="C135" s="182"/>
      <c r="D135" s="180"/>
      <c r="E135" s="182" t="s">
        <v>385</v>
      </c>
    </row>
    <row r="136" spans="1:5" s="1" customFormat="1" ht="22.5" customHeight="1">
      <c r="A136" s="181" t="s">
        <v>489</v>
      </c>
      <c r="B136" s="180"/>
      <c r="C136" s="199"/>
      <c r="D136" s="180"/>
      <c r="E136" s="199" t="s">
        <v>385</v>
      </c>
    </row>
    <row r="137" spans="1:5" s="1" customFormat="1" ht="22.5" customHeight="1">
      <c r="A137" s="181" t="s">
        <v>490</v>
      </c>
      <c r="B137" s="180"/>
      <c r="C137" s="200"/>
      <c r="D137" s="183"/>
      <c r="E137" s="199" t="s">
        <v>385</v>
      </c>
    </row>
    <row r="138" spans="1:5" s="1" customFormat="1" ht="22.5" customHeight="1">
      <c r="A138" s="181" t="s">
        <v>491</v>
      </c>
      <c r="B138" s="180"/>
      <c r="C138" s="200"/>
      <c r="D138" s="183"/>
      <c r="E138" s="199" t="s">
        <v>385</v>
      </c>
    </row>
    <row r="139" spans="1:5" s="1" customFormat="1" ht="22.5" customHeight="1">
      <c r="A139" s="181" t="s">
        <v>492</v>
      </c>
      <c r="B139" s="180"/>
      <c r="C139" s="200"/>
      <c r="D139" s="180"/>
      <c r="E139" s="200" t="s">
        <v>385</v>
      </c>
    </row>
    <row r="140" spans="1:5" s="1" customFormat="1" ht="22.5" customHeight="1">
      <c r="A140" s="181" t="s">
        <v>493</v>
      </c>
      <c r="B140" s="180"/>
      <c r="C140" s="200"/>
      <c r="D140" s="180"/>
      <c r="E140" s="199" t="s">
        <v>385</v>
      </c>
    </row>
    <row r="141" spans="1:5" s="1" customFormat="1" ht="22.5" customHeight="1">
      <c r="A141" s="181" t="s">
        <v>494</v>
      </c>
      <c r="B141" s="180"/>
      <c r="C141" s="201"/>
      <c r="D141" s="180"/>
      <c r="E141" s="201" t="s">
        <v>385</v>
      </c>
    </row>
    <row r="142" spans="1:5" s="1" customFormat="1" ht="22.5" customHeight="1">
      <c r="A142" s="181" t="s">
        <v>495</v>
      </c>
      <c r="B142" s="182" t="s">
        <v>385</v>
      </c>
      <c r="C142" s="202">
        <f>SUM(C120,-C121)</f>
        <v>0</v>
      </c>
      <c r="D142" s="182" t="s">
        <v>385</v>
      </c>
      <c r="E142" s="202">
        <f>SUM(E120,-E121)</f>
        <v>0</v>
      </c>
    </row>
    <row r="143" spans="1:5" s="1" customFormat="1" ht="22.5" customHeight="1">
      <c r="A143" s="181" t="s">
        <v>496</v>
      </c>
      <c r="B143" s="182" t="s">
        <v>385</v>
      </c>
      <c r="C143" s="202">
        <f>SUM(B144:B150)</f>
        <v>0</v>
      </c>
      <c r="D143" s="182" t="s">
        <v>385</v>
      </c>
      <c r="E143" s="202">
        <f>SUM(D144:D150)</f>
        <v>0</v>
      </c>
    </row>
    <row r="144" spans="1:5" s="1" customFormat="1" ht="22.5" customHeight="1">
      <c r="A144" s="181" t="s">
        <v>497</v>
      </c>
      <c r="B144" s="180"/>
      <c r="C144" s="199"/>
      <c r="D144" s="180"/>
      <c r="E144" s="199" t="s">
        <v>385</v>
      </c>
    </row>
    <row r="145" spans="1:5" s="1" customFormat="1" ht="22.5" customHeight="1">
      <c r="A145" s="181" t="s">
        <v>498</v>
      </c>
      <c r="B145" s="180"/>
      <c r="C145" s="199"/>
      <c r="D145" s="180"/>
      <c r="E145" s="199" t="s">
        <v>385</v>
      </c>
    </row>
    <row r="146" spans="1:5" s="1" customFormat="1" ht="22.5" customHeight="1">
      <c r="A146" s="181" t="s">
        <v>499</v>
      </c>
      <c r="B146" s="180"/>
      <c r="C146" s="182"/>
      <c r="D146" s="180"/>
      <c r="E146" s="182" t="s">
        <v>385</v>
      </c>
    </row>
    <row r="147" spans="1:5" s="1" customFormat="1" ht="22.5" customHeight="1">
      <c r="A147" s="181" t="s">
        <v>500</v>
      </c>
      <c r="B147" s="180"/>
      <c r="C147" s="182"/>
      <c r="D147" s="180"/>
      <c r="E147" s="182" t="s">
        <v>385</v>
      </c>
    </row>
    <row r="148" spans="1:5" s="1" customFormat="1" ht="22.5" customHeight="1">
      <c r="A148" s="181" t="s">
        <v>501</v>
      </c>
      <c r="B148" s="180"/>
      <c r="C148" s="182"/>
      <c r="D148" s="180"/>
      <c r="E148" s="182" t="s">
        <v>385</v>
      </c>
    </row>
    <row r="149" spans="1:5" s="1" customFormat="1" ht="22.5" customHeight="1">
      <c r="A149" s="181" t="s">
        <v>502</v>
      </c>
      <c r="B149" s="180"/>
      <c r="C149" s="182"/>
      <c r="D149" s="180"/>
      <c r="E149" s="182" t="s">
        <v>385</v>
      </c>
    </row>
    <row r="150" spans="1:5" s="1" customFormat="1" ht="22.5" customHeight="1">
      <c r="A150" s="181" t="s">
        <v>503</v>
      </c>
      <c r="B150" s="180"/>
      <c r="C150" s="182"/>
      <c r="D150" s="180"/>
      <c r="E150" s="182" t="s">
        <v>385</v>
      </c>
    </row>
    <row r="151" spans="1:5" s="1" customFormat="1" ht="22.5" customHeight="1">
      <c r="A151" s="181" t="s">
        <v>504</v>
      </c>
      <c r="B151" s="182" t="s">
        <v>385</v>
      </c>
      <c r="C151" s="180">
        <f>SUM(B152:B165)</f>
        <v>0</v>
      </c>
      <c r="D151" s="182" t="s">
        <v>385</v>
      </c>
      <c r="E151" s="180">
        <f>SUM(D152:D165)</f>
        <v>0</v>
      </c>
    </row>
    <row r="152" spans="1:5" s="1" customFormat="1" ht="22.5" customHeight="1">
      <c r="A152" s="181" t="s">
        <v>505</v>
      </c>
      <c r="B152" s="180"/>
      <c r="C152" s="182"/>
      <c r="D152" s="180"/>
      <c r="E152" s="182" t="s">
        <v>385</v>
      </c>
    </row>
    <row r="153" spans="1:5" s="1" customFormat="1" ht="22.5" customHeight="1">
      <c r="A153" s="181" t="s">
        <v>506</v>
      </c>
      <c r="B153" s="180"/>
      <c r="C153" s="182"/>
      <c r="D153" s="180"/>
      <c r="E153" s="182" t="s">
        <v>385</v>
      </c>
    </row>
    <row r="154" spans="1:5" s="1" customFormat="1" ht="22.5" customHeight="1">
      <c r="A154" s="181" t="s">
        <v>507</v>
      </c>
      <c r="B154" s="180"/>
      <c r="C154" s="182"/>
      <c r="D154" s="180"/>
      <c r="E154" s="182" t="s">
        <v>385</v>
      </c>
    </row>
    <row r="155" spans="1:5" s="1" customFormat="1" ht="22.5" customHeight="1">
      <c r="A155" s="181" t="s">
        <v>508</v>
      </c>
      <c r="B155" s="180"/>
      <c r="C155" s="182"/>
      <c r="D155" s="180"/>
      <c r="E155" s="182" t="s">
        <v>385</v>
      </c>
    </row>
    <row r="156" spans="1:5" s="1" customFormat="1" ht="22.5" customHeight="1">
      <c r="A156" s="181" t="s">
        <v>509</v>
      </c>
      <c r="B156" s="180"/>
      <c r="C156" s="182"/>
      <c r="D156" s="180"/>
      <c r="E156" s="182" t="s">
        <v>385</v>
      </c>
    </row>
    <row r="157" spans="1:5" s="1" customFormat="1" ht="22.5" customHeight="1">
      <c r="A157" s="181" t="s">
        <v>510</v>
      </c>
      <c r="B157" s="180"/>
      <c r="C157" s="182"/>
      <c r="D157" s="180"/>
      <c r="E157" s="182" t="s">
        <v>385</v>
      </c>
    </row>
    <row r="158" spans="1:5" s="1" customFormat="1" ht="22.5" customHeight="1">
      <c r="A158" s="181" t="s">
        <v>511</v>
      </c>
      <c r="B158" s="180"/>
      <c r="C158" s="182"/>
      <c r="D158" s="180"/>
      <c r="E158" s="182" t="s">
        <v>385</v>
      </c>
    </row>
    <row r="159" spans="1:5" s="1" customFormat="1" ht="22.5" customHeight="1">
      <c r="A159" s="181" t="s">
        <v>512</v>
      </c>
      <c r="B159" s="180"/>
      <c r="C159" s="182"/>
      <c r="D159" s="180"/>
      <c r="E159" s="182" t="s">
        <v>385</v>
      </c>
    </row>
    <row r="160" spans="1:5" s="1" customFormat="1" ht="22.5" customHeight="1">
      <c r="A160" s="181" t="s">
        <v>513</v>
      </c>
      <c r="B160" s="180"/>
      <c r="C160" s="182"/>
      <c r="D160" s="180"/>
      <c r="E160" s="182" t="s">
        <v>385</v>
      </c>
    </row>
    <row r="161" spans="1:84" s="1" customFormat="1" ht="22.5" customHeight="1">
      <c r="A161" s="181" t="s">
        <v>514</v>
      </c>
      <c r="B161" s="180"/>
      <c r="C161" s="182"/>
      <c r="D161" s="180"/>
      <c r="E161" s="182" t="s">
        <v>385</v>
      </c>
    </row>
    <row r="162" spans="1:84" s="1" customFormat="1" ht="22.5" customHeight="1">
      <c r="A162" s="181" t="s">
        <v>515</v>
      </c>
      <c r="B162" s="180"/>
      <c r="C162" s="182"/>
      <c r="D162" s="180"/>
      <c r="E162" s="182" t="s">
        <v>385</v>
      </c>
    </row>
    <row r="163" spans="1:84" s="1" customFormat="1" ht="22.5" customHeight="1">
      <c r="A163" s="181" t="s">
        <v>516</v>
      </c>
      <c r="B163" s="180"/>
      <c r="C163" s="182"/>
      <c r="D163" s="180"/>
      <c r="E163" s="182" t="s">
        <v>385</v>
      </c>
    </row>
    <row r="164" spans="1:84" s="1" customFormat="1" ht="22.5" customHeight="1">
      <c r="A164" s="181" t="s">
        <v>517</v>
      </c>
      <c r="B164" s="180"/>
      <c r="C164" s="182"/>
      <c r="D164" s="180"/>
      <c r="E164" s="182" t="s">
        <v>385</v>
      </c>
    </row>
    <row r="165" spans="1:84" s="1" customFormat="1" ht="22.5" customHeight="1">
      <c r="A165" s="181" t="s">
        <v>518</v>
      </c>
      <c r="B165" s="180"/>
      <c r="C165" s="192"/>
      <c r="D165" s="180"/>
      <c r="E165" s="192" t="s">
        <v>385</v>
      </c>
    </row>
    <row r="166" spans="1:84" s="1" customFormat="1" ht="22.5" customHeight="1">
      <c r="A166" s="181" t="s">
        <v>519</v>
      </c>
      <c r="B166" s="182" t="s">
        <v>385</v>
      </c>
      <c r="C166" s="180">
        <f>SUM(C142,C143,-C151)</f>
        <v>0</v>
      </c>
      <c r="D166" s="182" t="s">
        <v>385</v>
      </c>
      <c r="E166" s="180">
        <f>SUM(E142,E143,-E151)</f>
        <v>0</v>
      </c>
    </row>
    <row r="167" spans="1:84" s="1" customFormat="1" ht="22.5" customHeight="1">
      <c r="A167" s="181" t="s">
        <v>520</v>
      </c>
      <c r="B167" s="182" t="s">
        <v>385</v>
      </c>
      <c r="C167" s="180"/>
      <c r="D167" s="182" t="s">
        <v>385</v>
      </c>
      <c r="E167" s="180"/>
    </row>
    <row r="168" spans="1:84" s="1" customFormat="1" ht="22.5" customHeight="1" thickBot="1">
      <c r="A168" s="181" t="s">
        <v>521</v>
      </c>
      <c r="B168" s="182" t="s">
        <v>385</v>
      </c>
      <c r="C168" s="188">
        <f>SUM(C166,-C167)</f>
        <v>0</v>
      </c>
      <c r="D168" s="182" t="s">
        <v>385</v>
      </c>
      <c r="E168" s="188">
        <f>SUM(E166,-E167)</f>
        <v>0</v>
      </c>
    </row>
    <row r="169" spans="1:84" s="1" customFormat="1" ht="22.5" customHeight="1" thickTop="1">
      <c r="A169" s="181" t="s">
        <v>523</v>
      </c>
      <c r="B169" s="182" t="s">
        <v>385</v>
      </c>
      <c r="C169" s="182" t="s">
        <v>385</v>
      </c>
      <c r="D169" s="182" t="s">
        <v>385</v>
      </c>
      <c r="E169" s="182" t="s">
        <v>385</v>
      </c>
    </row>
    <row r="170" spans="1:84" s="1" customFormat="1" ht="22.5" customHeight="1">
      <c r="A170" s="181" t="s">
        <v>522</v>
      </c>
      <c r="B170" s="182" t="s">
        <v>385</v>
      </c>
      <c r="C170" s="180"/>
      <c r="D170" s="182"/>
      <c r="E170" s="180"/>
    </row>
    <row r="171" spans="1:84" s="1" customFormat="1" ht="22.5" customHeight="1">
      <c r="A171" s="167"/>
      <c r="B171" s="202"/>
      <c r="C171" s="180"/>
      <c r="D171" s="202"/>
      <c r="E171" s="180"/>
    </row>
    <row r="172" spans="1:84" s="1" customFormat="1" ht="16.5" customHeight="1">
      <c r="A172" s="203"/>
      <c r="B172" s="203"/>
      <c r="C172" s="203"/>
      <c r="D172" s="203"/>
      <c r="E172" s="203"/>
    </row>
    <row r="173" spans="1:84" s="1" customFormat="1" ht="22.5" customHeight="1">
      <c r="A173" s="156" t="s">
        <v>70</v>
      </c>
      <c r="B173" s="204"/>
      <c r="C173" s="204"/>
      <c r="D173" s="204"/>
      <c r="E173" s="204"/>
    </row>
    <row r="174" spans="1:84" s="155" customFormat="1" ht="32.1" customHeight="1">
      <c r="A174" s="205" t="s">
        <v>71</v>
      </c>
      <c r="B174" s="175"/>
      <c r="C174" s="175"/>
      <c r="D174" s="175"/>
      <c r="E174" s="175"/>
    </row>
    <row r="175" spans="1:84" s="155" customFormat="1" ht="12" customHeight="1">
      <c r="A175" s="176"/>
      <c r="B175" s="175"/>
      <c r="C175" s="175"/>
      <c r="D175" s="175"/>
      <c r="E175" s="175"/>
      <c r="F175" s="1"/>
      <c r="G175" s="1"/>
      <c r="H175" s="1"/>
      <c r="I175" s="1"/>
      <c r="J175" s="1"/>
      <c r="K175" s="1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</row>
    <row r="176" spans="1:84" s="158" customFormat="1" ht="15" customHeight="1">
      <c r="A176" s="170" t="s">
        <v>72</v>
      </c>
      <c r="B176" s="177"/>
      <c r="C176" s="177"/>
      <c r="D176" s="177"/>
      <c r="E176" s="177"/>
    </row>
    <row r="177" spans="1:5" s="158" customFormat="1" ht="15" customHeight="1">
      <c r="A177" s="157" t="s">
        <v>73</v>
      </c>
      <c r="B177" s="177"/>
      <c r="C177" s="177"/>
      <c r="D177" s="177"/>
      <c r="E177" s="177"/>
    </row>
    <row r="178" spans="1:5" s="206" customFormat="1" ht="22.5" customHeight="1">
      <c r="A178" s="177" t="s">
        <v>74</v>
      </c>
      <c r="B178" s="177"/>
      <c r="C178" s="177"/>
      <c r="D178" s="177"/>
      <c r="E178" s="177"/>
    </row>
    <row r="179" spans="1:5" s="158" customFormat="1" ht="12" customHeight="1">
      <c r="A179" s="157"/>
      <c r="B179" s="177"/>
      <c r="C179" s="177"/>
      <c r="D179" s="177"/>
      <c r="E179" s="177"/>
    </row>
    <row r="180" spans="1:5" s="158" customFormat="1" ht="12" customHeight="1">
      <c r="A180" s="157"/>
      <c r="B180" s="177"/>
      <c r="C180" s="177"/>
      <c r="D180" s="177"/>
      <c r="E180" s="177"/>
    </row>
    <row r="181" spans="1:5" s="158" customFormat="1" ht="12" customHeight="1">
      <c r="A181" s="157"/>
      <c r="B181" s="177"/>
      <c r="C181" s="177"/>
      <c r="D181" s="177"/>
      <c r="E181" s="177"/>
    </row>
    <row r="182" spans="1:5" s="1" customFormat="1" ht="12" customHeight="1">
      <c r="A182" s="161" t="str">
        <f>기본사항!$C$2</f>
        <v>(재)한국여성재단</v>
      </c>
      <c r="B182" s="178"/>
      <c r="C182" s="178"/>
      <c r="D182" s="178"/>
      <c r="E182" s="178" t="s">
        <v>20</v>
      </c>
    </row>
    <row r="183" spans="1:5" s="1" customFormat="1" ht="12" customHeight="1">
      <c r="A183" s="161"/>
      <c r="B183" s="178"/>
      <c r="C183" s="178"/>
      <c r="D183" s="178"/>
      <c r="E183" s="178"/>
    </row>
    <row r="184" spans="1:5" s="1" customFormat="1" ht="34.5" customHeight="1">
      <c r="A184" s="144" t="str">
        <f>$A$9</f>
        <v>과     목</v>
      </c>
      <c r="B184" s="143" t="str">
        <f>기본사항!$C$3</f>
        <v>제  13  기</v>
      </c>
      <c r="C184" s="143"/>
      <c r="D184" s="143" t="str">
        <f>기본사항!$C$4</f>
        <v>제  12  기</v>
      </c>
      <c r="E184" s="143"/>
    </row>
    <row r="185" spans="1:5" s="1" customFormat="1" ht="22.5" customHeight="1">
      <c r="A185" s="146" t="s">
        <v>524</v>
      </c>
      <c r="B185" s="187"/>
      <c r="C185" s="180">
        <f>SUM(B186:B187)</f>
        <v>0</v>
      </c>
      <c r="D185" s="180"/>
      <c r="E185" s="180">
        <f>SUM(D186:D187)</f>
        <v>0</v>
      </c>
    </row>
    <row r="186" spans="1:5" s="1" customFormat="1" ht="22.5" customHeight="1">
      <c r="A186" s="146" t="s">
        <v>525</v>
      </c>
      <c r="B186" s="183"/>
      <c r="C186" s="180"/>
      <c r="D186" s="180"/>
      <c r="E186" s="180"/>
    </row>
    <row r="187" spans="1:5" s="1" customFormat="1" ht="22.5" customHeight="1">
      <c r="A187" s="146" t="s">
        <v>526</v>
      </c>
      <c r="B187" s="183"/>
      <c r="C187" s="180"/>
      <c r="D187" s="180"/>
      <c r="E187" s="180"/>
    </row>
    <row r="188" spans="1:5" s="1" customFormat="1" ht="22.5" customHeight="1">
      <c r="A188" s="146" t="s">
        <v>527</v>
      </c>
      <c r="B188" s="183"/>
      <c r="C188" s="180">
        <f>SUM(B189)</f>
        <v>0</v>
      </c>
      <c r="D188" s="180"/>
      <c r="E188" s="180">
        <f>SUM(D189)</f>
        <v>0</v>
      </c>
    </row>
    <row r="189" spans="1:5" s="1" customFormat="1" ht="22.5" customHeight="1">
      <c r="A189" s="146" t="s">
        <v>528</v>
      </c>
      <c r="B189" s="183"/>
      <c r="C189" s="180"/>
      <c r="D189" s="180"/>
      <c r="E189" s="180"/>
    </row>
    <row r="190" spans="1:5" s="1" customFormat="1" ht="22.5" customHeight="1">
      <c r="A190" s="146" t="s">
        <v>529</v>
      </c>
      <c r="B190" s="183"/>
      <c r="C190" s="180">
        <f>SUM(B191)</f>
        <v>0</v>
      </c>
      <c r="D190" s="180"/>
      <c r="E190" s="180">
        <f>SUM(D191)</f>
        <v>0</v>
      </c>
    </row>
    <row r="191" spans="1:5" s="1" customFormat="1" ht="22.5" customHeight="1">
      <c r="A191" s="146" t="s">
        <v>528</v>
      </c>
      <c r="B191" s="183"/>
      <c r="C191" s="180"/>
      <c r="D191" s="180"/>
      <c r="E191" s="180"/>
    </row>
    <row r="192" spans="1:5" s="1" customFormat="1" ht="22.5" customHeight="1" thickBot="1">
      <c r="A192" s="146" t="s">
        <v>530</v>
      </c>
      <c r="B192" s="183"/>
      <c r="C192" s="188">
        <f>SUM(C185,C188,-C190)</f>
        <v>0</v>
      </c>
      <c r="D192" s="180"/>
      <c r="E192" s="188">
        <f>SUM(E185,E188,-E190)</f>
        <v>0</v>
      </c>
    </row>
    <row r="193" spans="1:6" s="1" customFormat="1" ht="22.5" customHeight="1" thickTop="1">
      <c r="A193" s="207"/>
      <c r="B193" s="186"/>
      <c r="C193" s="208">
        <f>C185-B96</f>
        <v>0</v>
      </c>
      <c r="D193" s="208"/>
      <c r="E193" s="208">
        <f>E185-D96</f>
        <v>0</v>
      </c>
    </row>
    <row r="194" spans="1:6" s="1" customFormat="1" ht="16.5" customHeight="1">
      <c r="A194" s="158"/>
      <c r="B194" s="196"/>
      <c r="C194" s="196"/>
      <c r="D194" s="196"/>
      <c r="E194" s="196"/>
    </row>
    <row r="195" spans="1:6" s="162" customFormat="1" ht="22.5" customHeight="1">
      <c r="A195" s="197" t="s">
        <v>50</v>
      </c>
      <c r="B195" s="204"/>
      <c r="C195" s="204"/>
      <c r="D195" s="204"/>
      <c r="E195" s="204"/>
    </row>
    <row r="196" spans="1:6" s="211" customFormat="1" ht="31.5" customHeight="1">
      <c r="A196" s="3" t="s">
        <v>75</v>
      </c>
      <c r="B196" s="209"/>
      <c r="C196" s="209"/>
      <c r="D196" s="209"/>
      <c r="E196" s="209"/>
      <c r="F196" s="210"/>
    </row>
    <row r="197" spans="1:6" s="155" customFormat="1" ht="12" customHeight="1">
      <c r="A197" s="176"/>
      <c r="B197" s="175"/>
      <c r="C197" s="175"/>
      <c r="D197" s="175"/>
      <c r="E197" s="175"/>
      <c r="F197" s="173"/>
    </row>
    <row r="198" spans="1:6" s="158" customFormat="1" ht="12" customHeight="1">
      <c r="A198" s="157" t="str">
        <f>기본사항!$C$7</f>
        <v>제  13  기  2011년 1월 1일부터  2011년 12월 31일까지</v>
      </c>
      <c r="B198" s="177"/>
      <c r="C198" s="177"/>
      <c r="D198" s="177"/>
      <c r="E198" s="177"/>
    </row>
    <row r="199" spans="1:6" s="158" customFormat="1" ht="15.75" customHeight="1">
      <c r="A199" s="157" t="str">
        <f>기본사항!$C$8</f>
        <v>제  12  기  2010년 1월 1일부터  2010년 12월 31일까지</v>
      </c>
      <c r="B199" s="177"/>
      <c r="C199" s="177"/>
      <c r="D199" s="177"/>
      <c r="E199" s="177"/>
    </row>
    <row r="200" spans="1:6" s="158" customFormat="1" ht="12" customHeight="1">
      <c r="A200" s="157"/>
      <c r="B200" s="177"/>
      <c r="C200" s="177"/>
      <c r="D200" s="177"/>
      <c r="E200" s="177"/>
      <c r="F200" s="1"/>
    </row>
    <row r="201" spans="1:6" s="1" customFormat="1" ht="12" customHeight="1">
      <c r="A201" s="159"/>
      <c r="B201" s="178"/>
      <c r="C201" s="178"/>
      <c r="D201" s="178"/>
      <c r="E201" s="178"/>
    </row>
    <row r="202" spans="1:6" s="1" customFormat="1" ht="12" customHeight="1">
      <c r="A202" s="161" t="str">
        <f>기본사항!C2</f>
        <v>(재)한국여성재단</v>
      </c>
      <c r="B202" s="178"/>
      <c r="C202" s="178"/>
      <c r="D202" s="178"/>
      <c r="E202" s="178" t="s">
        <v>20</v>
      </c>
    </row>
    <row r="203" spans="1:6" s="1" customFormat="1" ht="12" customHeight="1">
      <c r="A203" s="161"/>
      <c r="B203" s="178"/>
      <c r="C203" s="178"/>
      <c r="D203" s="178"/>
      <c r="E203" s="178"/>
    </row>
    <row r="204" spans="1:6" s="1" customFormat="1" ht="34.5" customHeight="1">
      <c r="A204" s="144" t="str">
        <f>$A$9</f>
        <v>과     목</v>
      </c>
      <c r="B204" s="143" t="str">
        <f>기본사항!$C$3</f>
        <v>제  13  기</v>
      </c>
      <c r="C204" s="143"/>
      <c r="D204" s="143" t="str">
        <f>기본사항!$C$4</f>
        <v>제  12  기</v>
      </c>
      <c r="E204" s="143"/>
    </row>
    <row r="205" spans="1:6" s="1" customFormat="1" ht="22.5" customHeight="1">
      <c r="A205" s="181" t="s">
        <v>531</v>
      </c>
      <c r="B205" s="182" t="s">
        <v>385</v>
      </c>
      <c r="C205" s="186">
        <f>SUM(B206,B207,B222,B227)</f>
        <v>0</v>
      </c>
      <c r="D205" s="182" t="s">
        <v>385</v>
      </c>
      <c r="E205" s="186">
        <f>SUM(D206,D207,D222,D227)</f>
        <v>0</v>
      </c>
    </row>
    <row r="206" spans="1:6" s="1" customFormat="1" ht="22.5" customHeight="1">
      <c r="A206" s="181" t="s">
        <v>532</v>
      </c>
      <c r="B206" s="180">
        <f>C168</f>
        <v>0</v>
      </c>
      <c r="C206" s="182" t="s">
        <v>385</v>
      </c>
      <c r="D206" s="183">
        <f>E168</f>
        <v>0</v>
      </c>
      <c r="E206" s="182" t="s">
        <v>385</v>
      </c>
    </row>
    <row r="207" spans="1:6" s="1" customFormat="1" ht="22.5" customHeight="1">
      <c r="A207" s="181" t="s">
        <v>533</v>
      </c>
      <c r="B207" s="180">
        <f>SUM(B208:B221)</f>
        <v>0</v>
      </c>
      <c r="C207" s="182" t="s">
        <v>385</v>
      </c>
      <c r="D207" s="180">
        <f>SUM(D208:D221)</f>
        <v>0</v>
      </c>
      <c r="E207" s="182" t="s">
        <v>385</v>
      </c>
    </row>
    <row r="208" spans="1:6" s="1" customFormat="1" ht="22.5" customHeight="1">
      <c r="A208" s="179" t="s">
        <v>534</v>
      </c>
      <c r="B208" s="180"/>
      <c r="C208" s="182"/>
      <c r="D208" s="180"/>
      <c r="E208" s="182" t="s">
        <v>385</v>
      </c>
    </row>
    <row r="209" spans="1:5" s="1" customFormat="1" ht="22.5" customHeight="1">
      <c r="A209" s="179" t="s">
        <v>535</v>
      </c>
      <c r="B209" s="180"/>
      <c r="C209" s="182"/>
      <c r="D209" s="180"/>
      <c r="E209" s="182" t="s">
        <v>385</v>
      </c>
    </row>
    <row r="210" spans="1:5" s="1" customFormat="1" ht="22.5" customHeight="1">
      <c r="A210" s="179" t="s">
        <v>536</v>
      </c>
      <c r="B210" s="180"/>
      <c r="C210" s="182"/>
      <c r="D210" s="180"/>
      <c r="E210" s="182" t="s">
        <v>385</v>
      </c>
    </row>
    <row r="211" spans="1:5" s="1" customFormat="1" ht="22.5" customHeight="1">
      <c r="A211" s="179" t="s">
        <v>537</v>
      </c>
      <c r="B211" s="180"/>
      <c r="C211" s="182"/>
      <c r="D211" s="180"/>
      <c r="E211" s="182" t="s">
        <v>385</v>
      </c>
    </row>
    <row r="212" spans="1:5" s="1" customFormat="1" ht="22.5" customHeight="1">
      <c r="A212" s="179" t="s">
        <v>538</v>
      </c>
      <c r="B212" s="180"/>
      <c r="C212" s="182"/>
      <c r="D212" s="180"/>
      <c r="E212" s="182" t="s">
        <v>385</v>
      </c>
    </row>
    <row r="213" spans="1:5" s="1" customFormat="1" ht="22.5" customHeight="1">
      <c r="A213" s="179" t="s">
        <v>539</v>
      </c>
      <c r="B213" s="180"/>
      <c r="C213" s="182"/>
      <c r="D213" s="180"/>
      <c r="E213" s="182" t="s">
        <v>385</v>
      </c>
    </row>
    <row r="214" spans="1:5" s="1" customFormat="1" ht="22.5" customHeight="1">
      <c r="A214" s="179" t="s">
        <v>540</v>
      </c>
      <c r="B214" s="180"/>
      <c r="C214" s="182"/>
      <c r="D214" s="180"/>
      <c r="E214" s="182" t="s">
        <v>385</v>
      </c>
    </row>
    <row r="215" spans="1:5" s="1" customFormat="1" ht="22.5" customHeight="1">
      <c r="A215" s="179" t="s">
        <v>541</v>
      </c>
      <c r="B215" s="180"/>
      <c r="C215" s="182"/>
      <c r="D215" s="180"/>
      <c r="E215" s="182" t="s">
        <v>385</v>
      </c>
    </row>
    <row r="216" spans="1:5" s="1" customFormat="1" ht="22.5" customHeight="1">
      <c r="A216" s="179" t="s">
        <v>542</v>
      </c>
      <c r="B216" s="180"/>
      <c r="C216" s="182"/>
      <c r="D216" s="180"/>
      <c r="E216" s="182" t="s">
        <v>385</v>
      </c>
    </row>
    <row r="217" spans="1:5" s="1" customFormat="1" ht="22.5" customHeight="1">
      <c r="A217" s="179" t="s">
        <v>543</v>
      </c>
      <c r="B217" s="180"/>
      <c r="C217" s="182"/>
      <c r="D217" s="180"/>
      <c r="E217" s="182" t="s">
        <v>385</v>
      </c>
    </row>
    <row r="218" spans="1:5" s="1" customFormat="1" ht="22.5" customHeight="1">
      <c r="A218" s="179" t="s">
        <v>544</v>
      </c>
      <c r="B218" s="180"/>
      <c r="C218" s="184"/>
      <c r="D218" s="212"/>
      <c r="E218" s="182" t="s">
        <v>385</v>
      </c>
    </row>
    <row r="219" spans="1:5" s="1" customFormat="1" ht="22.5" customHeight="1">
      <c r="A219" s="179" t="s">
        <v>545</v>
      </c>
      <c r="B219" s="180"/>
      <c r="C219" s="182"/>
      <c r="D219" s="180"/>
      <c r="E219" s="182" t="s">
        <v>385</v>
      </c>
    </row>
    <row r="220" spans="1:5" s="1" customFormat="1" ht="22.5" customHeight="1">
      <c r="A220" s="179" t="s">
        <v>546</v>
      </c>
      <c r="B220" s="180"/>
      <c r="C220" s="182"/>
      <c r="D220" s="180"/>
      <c r="E220" s="182" t="s">
        <v>385</v>
      </c>
    </row>
    <row r="221" spans="1:5" s="1" customFormat="1" ht="22.5" customHeight="1">
      <c r="A221" s="179" t="s">
        <v>547</v>
      </c>
      <c r="B221" s="180"/>
      <c r="C221" s="182"/>
      <c r="D221" s="180"/>
      <c r="E221" s="182" t="s">
        <v>385</v>
      </c>
    </row>
    <row r="222" spans="1:5" s="1" customFormat="1" ht="22.5" customHeight="1">
      <c r="A222" s="181" t="s">
        <v>548</v>
      </c>
      <c r="B222" s="180">
        <f>-SUM(B223:B226)</f>
        <v>0</v>
      </c>
      <c r="C222" s="184" t="s">
        <v>385</v>
      </c>
      <c r="D222" s="180">
        <f>-SUM(D223:D226)</f>
        <v>0</v>
      </c>
      <c r="E222" s="182" t="s">
        <v>385</v>
      </c>
    </row>
    <row r="223" spans="1:5" s="1" customFormat="1" ht="22.5" customHeight="1">
      <c r="A223" s="179" t="s">
        <v>549</v>
      </c>
      <c r="B223" s="180"/>
      <c r="C223" s="182"/>
      <c r="D223" s="180"/>
      <c r="E223" s="182" t="s">
        <v>385</v>
      </c>
    </row>
    <row r="224" spans="1:5" s="1" customFormat="1" ht="22.5" customHeight="1">
      <c r="A224" s="179" t="s">
        <v>550</v>
      </c>
      <c r="B224" s="180"/>
      <c r="C224" s="182"/>
      <c r="D224" s="180"/>
      <c r="E224" s="182" t="s">
        <v>385</v>
      </c>
    </row>
    <row r="225" spans="1:5" s="1" customFormat="1" ht="22.5" customHeight="1">
      <c r="A225" s="179" t="s">
        <v>551</v>
      </c>
      <c r="B225" s="180"/>
      <c r="C225" s="182"/>
      <c r="D225" s="180"/>
      <c r="E225" s="182" t="s">
        <v>385</v>
      </c>
    </row>
    <row r="226" spans="1:5" s="1" customFormat="1" ht="22.5" customHeight="1">
      <c r="A226" s="179" t="s">
        <v>552</v>
      </c>
      <c r="B226" s="180"/>
      <c r="C226" s="182"/>
      <c r="D226" s="180"/>
      <c r="E226" s="182" t="s">
        <v>385</v>
      </c>
    </row>
    <row r="227" spans="1:5" s="1" customFormat="1" ht="22.5" customHeight="1">
      <c r="A227" s="181" t="s">
        <v>553</v>
      </c>
      <c r="B227" s="180">
        <f>SUM(B228:B245)</f>
        <v>0</v>
      </c>
      <c r="C227" s="182" t="s">
        <v>385</v>
      </c>
      <c r="D227" s="180">
        <f>SUM(D228:D245)</f>
        <v>0</v>
      </c>
      <c r="E227" s="182" t="s">
        <v>385</v>
      </c>
    </row>
    <row r="228" spans="1:5" s="1" customFormat="1" ht="22.5" customHeight="1">
      <c r="A228" s="179" t="s">
        <v>554</v>
      </c>
      <c r="B228" s="180"/>
      <c r="C228" s="182"/>
      <c r="D228" s="180"/>
      <c r="E228" s="182" t="s">
        <v>385</v>
      </c>
    </row>
    <row r="229" spans="1:5" s="1" customFormat="1" ht="22.5" customHeight="1">
      <c r="A229" s="179" t="s">
        <v>555</v>
      </c>
      <c r="B229" s="180"/>
      <c r="C229" s="182"/>
      <c r="D229" s="180"/>
      <c r="E229" s="182" t="s">
        <v>385</v>
      </c>
    </row>
    <row r="230" spans="1:5" s="1" customFormat="1" ht="22.5" customHeight="1">
      <c r="A230" s="179" t="s">
        <v>556</v>
      </c>
      <c r="B230" s="180"/>
      <c r="C230" s="182"/>
      <c r="D230" s="180"/>
      <c r="E230" s="182" t="s">
        <v>385</v>
      </c>
    </row>
    <row r="231" spans="1:5" s="1" customFormat="1" ht="22.5" customHeight="1">
      <c r="A231" s="179" t="s">
        <v>557</v>
      </c>
      <c r="B231" s="180"/>
      <c r="C231" s="182"/>
      <c r="D231" s="180"/>
      <c r="E231" s="182" t="s">
        <v>385</v>
      </c>
    </row>
    <row r="232" spans="1:5" s="1" customFormat="1" ht="22.5" customHeight="1">
      <c r="A232" s="179" t="s">
        <v>558</v>
      </c>
      <c r="B232" s="180"/>
      <c r="C232" s="182"/>
      <c r="D232" s="180"/>
      <c r="E232" s="182" t="s">
        <v>385</v>
      </c>
    </row>
    <row r="233" spans="1:5" s="1" customFormat="1" ht="22.5" customHeight="1">
      <c r="A233" s="179" t="s">
        <v>559</v>
      </c>
      <c r="B233" s="180"/>
      <c r="C233" s="182"/>
      <c r="D233" s="180"/>
      <c r="E233" s="182" t="s">
        <v>385</v>
      </c>
    </row>
    <row r="234" spans="1:5" s="1" customFormat="1" ht="22.5" customHeight="1">
      <c r="A234" s="179" t="s">
        <v>560</v>
      </c>
      <c r="B234" s="180"/>
      <c r="C234" s="182"/>
      <c r="D234" s="183"/>
      <c r="E234" s="182" t="s">
        <v>385</v>
      </c>
    </row>
    <row r="235" spans="1:5" s="1" customFormat="1" ht="22.5" customHeight="1">
      <c r="A235" s="179" t="s">
        <v>561</v>
      </c>
      <c r="B235" s="180"/>
      <c r="C235" s="182"/>
      <c r="D235" s="180"/>
      <c r="E235" s="182" t="s">
        <v>385</v>
      </c>
    </row>
    <row r="236" spans="1:5" s="1" customFormat="1" ht="22.5" customHeight="1">
      <c r="A236" s="179" t="s">
        <v>562</v>
      </c>
      <c r="B236" s="180"/>
      <c r="C236" s="182"/>
      <c r="D236" s="180"/>
      <c r="E236" s="182" t="s">
        <v>385</v>
      </c>
    </row>
    <row r="237" spans="1:5" s="1" customFormat="1" ht="22.5" customHeight="1">
      <c r="A237" s="179" t="s">
        <v>563</v>
      </c>
      <c r="B237" s="180"/>
      <c r="C237" s="182"/>
      <c r="D237" s="180"/>
      <c r="E237" s="182" t="s">
        <v>385</v>
      </c>
    </row>
    <row r="238" spans="1:5" s="1" customFormat="1" ht="22.5" customHeight="1">
      <c r="A238" s="179" t="s">
        <v>564</v>
      </c>
      <c r="B238" s="180"/>
      <c r="C238" s="182"/>
      <c r="D238" s="180"/>
      <c r="E238" s="182" t="s">
        <v>385</v>
      </c>
    </row>
    <row r="239" spans="1:5" s="1" customFormat="1" ht="22.5" customHeight="1">
      <c r="A239" s="179" t="s">
        <v>565</v>
      </c>
      <c r="B239" s="180"/>
      <c r="C239" s="182"/>
      <c r="D239" s="180"/>
      <c r="E239" s="182" t="s">
        <v>385</v>
      </c>
    </row>
    <row r="240" spans="1:5" s="1" customFormat="1" ht="22.5" customHeight="1">
      <c r="A240" s="179" t="s">
        <v>566</v>
      </c>
      <c r="B240" s="180"/>
      <c r="C240" s="182"/>
      <c r="D240" s="180"/>
      <c r="E240" s="182" t="s">
        <v>385</v>
      </c>
    </row>
    <row r="241" spans="1:5" s="1" customFormat="1" ht="22.5" customHeight="1">
      <c r="A241" s="179" t="s">
        <v>567</v>
      </c>
      <c r="B241" s="180"/>
      <c r="C241" s="182"/>
      <c r="D241" s="180"/>
      <c r="E241" s="182" t="s">
        <v>385</v>
      </c>
    </row>
    <row r="242" spans="1:5" s="1" customFormat="1" ht="22.5" customHeight="1">
      <c r="A242" s="179" t="s">
        <v>568</v>
      </c>
      <c r="B242" s="180"/>
      <c r="C242" s="182"/>
      <c r="D242" s="180"/>
      <c r="E242" s="182" t="s">
        <v>385</v>
      </c>
    </row>
    <row r="243" spans="1:5" s="1" customFormat="1" ht="22.5" customHeight="1">
      <c r="A243" s="179" t="s">
        <v>569</v>
      </c>
      <c r="B243" s="180"/>
      <c r="C243" s="182"/>
      <c r="D243" s="180"/>
      <c r="E243" s="182" t="s">
        <v>385</v>
      </c>
    </row>
    <row r="244" spans="1:5" s="1" customFormat="1" ht="22.5" customHeight="1">
      <c r="A244" s="179" t="s">
        <v>570</v>
      </c>
      <c r="B244" s="180"/>
      <c r="C244" s="182"/>
      <c r="D244" s="180"/>
      <c r="E244" s="182" t="s">
        <v>385</v>
      </c>
    </row>
    <row r="245" spans="1:5" s="1" customFormat="1" ht="22.5" customHeight="1">
      <c r="A245" s="179" t="s">
        <v>571</v>
      </c>
      <c r="B245" s="180"/>
      <c r="C245" s="182"/>
      <c r="D245" s="180"/>
      <c r="E245" s="182" t="s">
        <v>385</v>
      </c>
    </row>
    <row r="246" spans="1:5" s="1" customFormat="1" ht="22.5" customHeight="1">
      <c r="A246" s="181" t="s">
        <v>572</v>
      </c>
      <c r="B246" s="182" t="s">
        <v>385</v>
      </c>
      <c r="C246" s="180">
        <f>SUM(B247,B258)</f>
        <v>0</v>
      </c>
      <c r="D246" s="182" t="s">
        <v>385</v>
      </c>
      <c r="E246" s="180">
        <f>SUM(D247,D258)</f>
        <v>0</v>
      </c>
    </row>
    <row r="247" spans="1:5" s="1" customFormat="1" ht="22.5" customHeight="1">
      <c r="A247" s="181" t="s">
        <v>573</v>
      </c>
      <c r="B247" s="180">
        <f>SUM(B248:B257)</f>
        <v>0</v>
      </c>
      <c r="C247" s="182" t="s">
        <v>385</v>
      </c>
      <c r="D247" s="180">
        <f>SUM(D248:D257)</f>
        <v>0</v>
      </c>
      <c r="E247" s="182" t="s">
        <v>385</v>
      </c>
    </row>
    <row r="248" spans="1:5" s="1" customFormat="1" ht="22.5" customHeight="1">
      <c r="A248" s="179" t="s">
        <v>574</v>
      </c>
      <c r="B248" s="180"/>
      <c r="C248" s="182"/>
      <c r="D248" s="182"/>
      <c r="E248" s="182" t="s">
        <v>385</v>
      </c>
    </row>
    <row r="249" spans="1:5" s="1" customFormat="1" ht="22.5" customHeight="1">
      <c r="A249" s="179" t="s">
        <v>575</v>
      </c>
      <c r="B249" s="180"/>
      <c r="C249" s="182"/>
      <c r="D249" s="180"/>
      <c r="E249" s="182" t="s">
        <v>385</v>
      </c>
    </row>
    <row r="250" spans="1:5" s="1" customFormat="1" ht="22.5" customHeight="1">
      <c r="A250" s="179" t="s">
        <v>576</v>
      </c>
      <c r="B250" s="180"/>
      <c r="C250" s="182"/>
      <c r="D250" s="180"/>
      <c r="E250" s="182" t="s">
        <v>385</v>
      </c>
    </row>
    <row r="251" spans="1:5" s="1" customFormat="1" ht="22.5" customHeight="1">
      <c r="A251" s="179" t="s">
        <v>577</v>
      </c>
      <c r="B251" s="180"/>
      <c r="C251" s="182"/>
      <c r="D251" s="180"/>
      <c r="E251" s="182" t="s">
        <v>385</v>
      </c>
    </row>
    <row r="252" spans="1:5" s="1" customFormat="1" ht="22.5" customHeight="1">
      <c r="A252" s="179" t="s">
        <v>578</v>
      </c>
      <c r="B252" s="180"/>
      <c r="C252" s="182"/>
      <c r="D252" s="180"/>
      <c r="E252" s="182" t="s">
        <v>385</v>
      </c>
    </row>
    <row r="253" spans="1:5" s="1" customFormat="1" ht="22.5" customHeight="1">
      <c r="A253" s="179" t="s">
        <v>579</v>
      </c>
      <c r="B253" s="180"/>
      <c r="C253" s="182"/>
      <c r="D253" s="180"/>
      <c r="E253" s="182" t="s">
        <v>385</v>
      </c>
    </row>
    <row r="254" spans="1:5" s="1" customFormat="1" ht="22.5" customHeight="1">
      <c r="A254" s="179" t="s">
        <v>580</v>
      </c>
      <c r="B254" s="180"/>
      <c r="C254" s="182"/>
      <c r="D254" s="180"/>
      <c r="E254" s="182" t="s">
        <v>385</v>
      </c>
    </row>
    <row r="255" spans="1:5" s="1" customFormat="1" ht="22.5" customHeight="1">
      <c r="A255" s="179" t="s">
        <v>581</v>
      </c>
      <c r="B255" s="180"/>
      <c r="C255" s="182"/>
      <c r="D255" s="180"/>
      <c r="E255" s="182" t="s">
        <v>385</v>
      </c>
    </row>
    <row r="256" spans="1:5" s="1" customFormat="1" ht="22.5" customHeight="1">
      <c r="A256" s="179" t="s">
        <v>582</v>
      </c>
      <c r="B256" s="180"/>
      <c r="C256" s="182"/>
      <c r="D256" s="180"/>
      <c r="E256" s="182" t="s">
        <v>385</v>
      </c>
    </row>
    <row r="257" spans="1:5" s="1" customFormat="1" ht="22.5" customHeight="1">
      <c r="A257" s="179" t="s">
        <v>583</v>
      </c>
      <c r="B257" s="180"/>
      <c r="C257" s="182"/>
      <c r="D257" s="180"/>
      <c r="E257" s="182" t="s">
        <v>385</v>
      </c>
    </row>
    <row r="258" spans="1:5" s="1" customFormat="1" ht="22.5" customHeight="1">
      <c r="A258" s="181" t="s">
        <v>584</v>
      </c>
      <c r="B258" s="180">
        <f>-SUM(B259:B269)</f>
        <v>0</v>
      </c>
      <c r="C258" s="182" t="s">
        <v>385</v>
      </c>
      <c r="D258" s="180">
        <f>-SUM(D259:D269)</f>
        <v>0</v>
      </c>
      <c r="E258" s="182" t="s">
        <v>385</v>
      </c>
    </row>
    <row r="259" spans="1:5" s="1" customFormat="1" ht="22.5" customHeight="1">
      <c r="A259" s="179" t="s">
        <v>585</v>
      </c>
      <c r="B259" s="180"/>
      <c r="C259" s="182"/>
      <c r="D259" s="180"/>
      <c r="E259" s="182" t="s">
        <v>385</v>
      </c>
    </row>
    <row r="260" spans="1:5" s="1" customFormat="1" ht="22.5" customHeight="1">
      <c r="A260" s="179" t="s">
        <v>586</v>
      </c>
      <c r="B260" s="180"/>
      <c r="C260" s="182"/>
      <c r="D260" s="180"/>
      <c r="E260" s="182" t="s">
        <v>385</v>
      </c>
    </row>
    <row r="261" spans="1:5" s="1" customFormat="1" ht="22.5" customHeight="1">
      <c r="A261" s="179" t="s">
        <v>587</v>
      </c>
      <c r="B261" s="180"/>
      <c r="C261" s="184"/>
      <c r="D261" s="183"/>
      <c r="E261" s="184" t="s">
        <v>385</v>
      </c>
    </row>
    <row r="262" spans="1:5" s="1" customFormat="1" ht="22.5" customHeight="1">
      <c r="A262" s="179" t="s">
        <v>588</v>
      </c>
      <c r="B262" s="180"/>
      <c r="C262" s="184"/>
      <c r="D262" s="183"/>
      <c r="E262" s="184" t="s">
        <v>385</v>
      </c>
    </row>
    <row r="263" spans="1:5" s="1" customFormat="1" ht="22.5" customHeight="1">
      <c r="A263" s="179" t="s">
        <v>589</v>
      </c>
      <c r="B263" s="180"/>
      <c r="C263" s="182"/>
      <c r="D263" s="180"/>
      <c r="E263" s="182" t="s">
        <v>385</v>
      </c>
    </row>
    <row r="264" spans="1:5" s="1" customFormat="1" ht="22.5" customHeight="1">
      <c r="A264" s="179" t="s">
        <v>590</v>
      </c>
      <c r="B264" s="180"/>
      <c r="C264" s="182"/>
      <c r="D264" s="180"/>
      <c r="E264" s="182" t="s">
        <v>385</v>
      </c>
    </row>
    <row r="265" spans="1:5" s="1" customFormat="1" ht="22.5" customHeight="1">
      <c r="A265" s="179" t="s">
        <v>591</v>
      </c>
      <c r="B265" s="180"/>
      <c r="C265" s="182"/>
      <c r="D265" s="180"/>
      <c r="E265" s="182" t="s">
        <v>385</v>
      </c>
    </row>
    <row r="266" spans="1:5" s="1" customFormat="1" ht="22.5" customHeight="1">
      <c r="A266" s="179" t="s">
        <v>592</v>
      </c>
      <c r="B266" s="180"/>
      <c r="C266" s="213"/>
      <c r="D266" s="180"/>
      <c r="E266" s="213" t="s">
        <v>385</v>
      </c>
    </row>
    <row r="267" spans="1:5" s="1" customFormat="1" ht="22.5" customHeight="1">
      <c r="A267" s="179" t="s">
        <v>593</v>
      </c>
      <c r="B267" s="180"/>
      <c r="C267" s="213"/>
      <c r="D267" s="180"/>
      <c r="E267" s="213" t="s">
        <v>385</v>
      </c>
    </row>
    <row r="268" spans="1:5" s="1" customFormat="1" ht="22.5" customHeight="1">
      <c r="A268" s="179" t="s">
        <v>594</v>
      </c>
      <c r="B268" s="180"/>
      <c r="C268" s="214"/>
      <c r="D268" s="180"/>
      <c r="E268" s="213" t="s">
        <v>385</v>
      </c>
    </row>
    <row r="269" spans="1:5" s="1" customFormat="1" ht="22.5" customHeight="1">
      <c r="A269" s="179" t="s">
        <v>595</v>
      </c>
      <c r="B269" s="180"/>
      <c r="C269" s="214"/>
      <c r="D269" s="180"/>
      <c r="E269" s="213" t="s">
        <v>385</v>
      </c>
    </row>
    <row r="270" spans="1:5" s="1" customFormat="1" ht="22.5" customHeight="1">
      <c r="A270" s="181" t="s">
        <v>596</v>
      </c>
      <c r="B270" s="182" t="s">
        <v>385</v>
      </c>
      <c r="C270" s="214">
        <f>SUM(B271,B274)</f>
        <v>0</v>
      </c>
      <c r="D270" s="182" t="s">
        <v>385</v>
      </c>
      <c r="E270" s="214">
        <f>SUM(D271,D274)</f>
        <v>0</v>
      </c>
    </row>
    <row r="271" spans="1:5" s="1" customFormat="1" ht="22.5" customHeight="1">
      <c r="A271" s="181" t="s">
        <v>597</v>
      </c>
      <c r="B271" s="180">
        <f>SUM(B272:B273)</f>
        <v>0</v>
      </c>
      <c r="C271" s="213" t="s">
        <v>385</v>
      </c>
      <c r="D271" s="180">
        <f>SUM(D272:D273)</f>
        <v>0</v>
      </c>
      <c r="E271" s="213" t="s">
        <v>385</v>
      </c>
    </row>
    <row r="272" spans="1:5" s="1" customFormat="1" ht="22.5" customHeight="1">
      <c r="A272" s="179" t="s">
        <v>598</v>
      </c>
      <c r="B272" s="180"/>
      <c r="C272" s="213"/>
      <c r="D272" s="180"/>
      <c r="E272" s="213" t="s">
        <v>385</v>
      </c>
    </row>
    <row r="273" spans="1:5" s="1" customFormat="1" ht="22.5" customHeight="1">
      <c r="A273" s="179" t="s">
        <v>599</v>
      </c>
      <c r="B273" s="180"/>
      <c r="C273" s="184"/>
      <c r="D273" s="183"/>
      <c r="E273" s="184" t="s">
        <v>385</v>
      </c>
    </row>
    <row r="274" spans="1:5" s="1" customFormat="1" ht="22.5" customHeight="1">
      <c r="A274" s="181" t="s">
        <v>600</v>
      </c>
      <c r="B274" s="180">
        <f>-SUM(B275:B276)</f>
        <v>0</v>
      </c>
      <c r="C274" s="213" t="s">
        <v>385</v>
      </c>
      <c r="D274" s="180">
        <f>-SUM(D275:D276)</f>
        <v>0</v>
      </c>
      <c r="E274" s="213" t="s">
        <v>385</v>
      </c>
    </row>
    <row r="275" spans="1:5" s="1" customFormat="1" ht="22.5" customHeight="1">
      <c r="A275" s="179" t="s">
        <v>598</v>
      </c>
      <c r="B275" s="180"/>
      <c r="C275" s="213"/>
      <c r="D275" s="180"/>
      <c r="E275" s="213" t="s">
        <v>385</v>
      </c>
    </row>
    <row r="276" spans="1:5" s="1" customFormat="1" ht="22.5" customHeight="1">
      <c r="A276" s="179" t="s">
        <v>599</v>
      </c>
      <c r="B276" s="180"/>
      <c r="C276" s="213"/>
      <c r="D276" s="180"/>
      <c r="E276" s="213" t="s">
        <v>385</v>
      </c>
    </row>
    <row r="277" spans="1:5" s="1" customFormat="1" ht="22.5" customHeight="1">
      <c r="A277" s="181" t="s">
        <v>601</v>
      </c>
      <c r="B277" s="215"/>
      <c r="C277" s="180">
        <f>SUM(C205,C246,C270)</f>
        <v>0</v>
      </c>
      <c r="D277" s="215"/>
      <c r="E277" s="180">
        <f>SUM(E205,E246,E270)</f>
        <v>0</v>
      </c>
    </row>
    <row r="278" spans="1:5" s="1" customFormat="1" ht="22.5" customHeight="1">
      <c r="A278" s="181" t="s">
        <v>602</v>
      </c>
      <c r="B278" s="212"/>
      <c r="C278" s="183">
        <f>E279</f>
        <v>0</v>
      </c>
      <c r="D278" s="212"/>
      <c r="E278" s="183"/>
    </row>
    <row r="279" spans="1:5" s="1" customFormat="1" ht="22.5" customHeight="1" thickBot="1">
      <c r="A279" s="181" t="s">
        <v>603</v>
      </c>
      <c r="B279" s="216"/>
      <c r="C279" s="188">
        <f>SUM(C277:C278)</f>
        <v>0</v>
      </c>
      <c r="D279" s="215"/>
      <c r="E279" s="188">
        <f>SUM(E277:E278)</f>
        <v>0</v>
      </c>
    </row>
    <row r="280" spans="1:5" s="1" customFormat="1" ht="22.5" customHeight="1" thickTop="1">
      <c r="A280" s="167"/>
      <c r="B280" s="186"/>
      <c r="C280" s="208"/>
      <c r="D280" s="208"/>
      <c r="E280" s="208"/>
    </row>
    <row r="281" spans="1:5" s="1" customFormat="1" ht="16.5" customHeight="1">
      <c r="A281" s="195"/>
      <c r="B281" s="196"/>
      <c r="C281" s="196"/>
      <c r="D281" s="196"/>
      <c r="E281" s="196"/>
    </row>
    <row r="282" spans="1:5" s="1" customFormat="1" ht="22.5" customHeight="1">
      <c r="A282" s="159"/>
      <c r="B282" s="177"/>
      <c r="C282" s="177"/>
      <c r="D282" s="177"/>
      <c r="E282" s="177"/>
    </row>
    <row r="283" spans="1:5" s="1" customFormat="1" ht="12.75">
      <c r="A283" s="158"/>
      <c r="B283" s="217"/>
      <c r="C283" s="217"/>
      <c r="D283" s="217"/>
      <c r="E283" s="217"/>
    </row>
    <row r="284" spans="1:5" s="1" customFormat="1" ht="12.75">
      <c r="A284" s="218"/>
      <c r="B284" s="196"/>
      <c r="C284" s="196"/>
      <c r="D284" s="196"/>
      <c r="E284" s="196"/>
    </row>
    <row r="285" spans="1:5" s="1" customFormat="1" ht="12.75">
      <c r="A285" s="195"/>
      <c r="B285" s="178"/>
      <c r="C285" s="178"/>
      <c r="D285" s="178"/>
      <c r="E285" s="178"/>
    </row>
    <row r="286" spans="1:5" s="1" customFormat="1" ht="12.75">
      <c r="A286" s="159"/>
      <c r="B286" s="178"/>
      <c r="C286" s="178"/>
      <c r="D286" s="178"/>
      <c r="E286" s="178"/>
    </row>
    <row r="287" spans="1:5" s="1" customFormat="1" ht="12.75">
      <c r="A287" s="159"/>
      <c r="B287" s="178"/>
      <c r="C287" s="178"/>
      <c r="D287" s="178"/>
      <c r="E287" s="178"/>
    </row>
    <row r="288" spans="1:5" s="1" customFormat="1" ht="12.75">
      <c r="A288" s="159"/>
      <c r="B288" s="178"/>
      <c r="C288" s="178"/>
      <c r="D288" s="178"/>
      <c r="E288" s="178"/>
    </row>
    <row r="289" spans="1:5" s="1" customFormat="1" ht="12.75">
      <c r="A289" s="159"/>
      <c r="B289" s="178"/>
      <c r="C289" s="178"/>
      <c r="D289" s="178"/>
      <c r="E289" s="178"/>
    </row>
    <row r="290" spans="1:5" s="1" customFormat="1" ht="12.75">
      <c r="A290" s="159"/>
      <c r="B290" s="178"/>
      <c r="C290" s="178"/>
      <c r="D290" s="178"/>
      <c r="E290" s="178"/>
    </row>
    <row r="291" spans="1:5" s="1" customFormat="1" ht="12.75">
      <c r="A291" s="159"/>
      <c r="B291" s="178"/>
      <c r="C291" s="178"/>
      <c r="D291" s="178"/>
      <c r="E291" s="178"/>
    </row>
    <row r="292" spans="1:5" s="1" customFormat="1" ht="12.75">
      <c r="A292" s="159"/>
      <c r="B292" s="178"/>
      <c r="C292" s="178"/>
      <c r="D292" s="178"/>
      <c r="E292" s="178"/>
    </row>
    <row r="293" spans="1:5" s="1" customFormat="1" ht="12.75">
      <c r="A293" s="159"/>
      <c r="B293" s="178"/>
      <c r="C293" s="178"/>
      <c r="D293" s="178"/>
      <c r="E293" s="178"/>
    </row>
    <row r="294" spans="1:5" s="1" customFormat="1" ht="12.75">
      <c r="A294" s="159"/>
      <c r="B294" s="178"/>
      <c r="C294" s="178"/>
      <c r="D294" s="178"/>
      <c r="E294" s="178"/>
    </row>
    <row r="295" spans="1:5" s="1" customFormat="1" ht="12.75">
      <c r="A295" s="159"/>
      <c r="B295" s="178"/>
      <c r="C295" s="178"/>
      <c r="D295" s="178"/>
      <c r="E295" s="178"/>
    </row>
    <row r="296" spans="1:5" s="1" customFormat="1" ht="12.75">
      <c r="A296" s="159"/>
      <c r="B296" s="178"/>
      <c r="C296" s="178"/>
      <c r="D296" s="178"/>
      <c r="E296" s="178"/>
    </row>
    <row r="297" spans="1:5" s="1" customFormat="1" ht="12.75">
      <c r="A297" s="159"/>
      <c r="B297" s="178"/>
      <c r="C297" s="178"/>
      <c r="D297" s="178"/>
      <c r="E297" s="178"/>
    </row>
    <row r="298" spans="1:5" s="1" customFormat="1" ht="12.75">
      <c r="A298" s="159"/>
      <c r="B298" s="178"/>
      <c r="C298" s="178"/>
      <c r="D298" s="178"/>
      <c r="E298" s="178"/>
    </row>
    <row r="299" spans="1:5" s="1" customFormat="1" ht="12.75">
      <c r="A299" s="159"/>
      <c r="B299" s="178"/>
      <c r="C299" s="178"/>
      <c r="D299" s="178"/>
      <c r="E299" s="178"/>
    </row>
    <row r="300" spans="1:5" s="1" customFormat="1" ht="12.75">
      <c r="A300" s="159"/>
      <c r="B300" s="178"/>
      <c r="C300" s="178"/>
      <c r="D300" s="178"/>
      <c r="E300" s="178"/>
    </row>
    <row r="301" spans="1:5" s="1" customFormat="1" ht="12.75">
      <c r="A301" s="159"/>
      <c r="B301" s="178"/>
      <c r="C301" s="178"/>
      <c r="D301" s="178"/>
      <c r="E301" s="178"/>
    </row>
    <row r="302" spans="1:5" s="1" customFormat="1" ht="12.75">
      <c r="A302" s="159"/>
      <c r="B302" s="178"/>
      <c r="C302" s="178"/>
      <c r="D302" s="178"/>
      <c r="E302" s="178"/>
    </row>
    <row r="303" spans="1:5" s="1" customFormat="1" ht="12.75">
      <c r="A303" s="159"/>
      <c r="B303" s="178"/>
      <c r="C303" s="178"/>
      <c r="D303" s="178"/>
      <c r="E303" s="178"/>
    </row>
    <row r="304" spans="1:5" s="1" customFormat="1" ht="12.75">
      <c r="A304" s="159"/>
      <c r="B304" s="178"/>
      <c r="C304" s="178"/>
      <c r="D304" s="178"/>
      <c r="E304" s="178"/>
    </row>
    <row r="305" spans="1:5" s="1" customFormat="1" ht="12.75">
      <c r="A305" s="159"/>
      <c r="B305" s="178"/>
      <c r="C305" s="178"/>
      <c r="D305" s="178"/>
      <c r="E305" s="178"/>
    </row>
    <row r="306" spans="1:5" s="1" customFormat="1" ht="12.75">
      <c r="A306" s="159"/>
      <c r="B306" s="178"/>
      <c r="C306" s="178"/>
      <c r="D306" s="178"/>
      <c r="E306" s="178"/>
    </row>
    <row r="307" spans="1:5" s="1" customFormat="1" ht="12.75">
      <c r="A307" s="159"/>
      <c r="B307" s="178"/>
      <c r="C307" s="178"/>
      <c r="D307" s="178"/>
      <c r="E307" s="178"/>
    </row>
    <row r="308" spans="1:5" s="1" customFormat="1" ht="12.75">
      <c r="A308" s="159"/>
      <c r="B308" s="178"/>
      <c r="C308" s="178"/>
      <c r="D308" s="178"/>
      <c r="E308" s="178"/>
    </row>
    <row r="309" spans="1:5" s="1" customFormat="1" ht="12.75">
      <c r="A309" s="159"/>
      <c r="B309" s="178"/>
      <c r="C309" s="178"/>
      <c r="D309" s="178"/>
      <c r="E309" s="178"/>
    </row>
    <row r="310" spans="1:5" s="1" customFormat="1" ht="12.75">
      <c r="A310" s="159"/>
      <c r="B310" s="178"/>
      <c r="C310" s="178"/>
      <c r="D310" s="178"/>
      <c r="E310" s="178"/>
    </row>
    <row r="311" spans="1:5" s="1" customFormat="1" ht="12.75">
      <c r="A311" s="159"/>
      <c r="B311" s="178"/>
      <c r="C311" s="178"/>
      <c r="D311" s="178"/>
      <c r="E311" s="178"/>
    </row>
    <row r="312" spans="1:5" s="1" customFormat="1" ht="12.75">
      <c r="A312" s="159"/>
      <c r="B312" s="178"/>
      <c r="C312" s="178"/>
      <c r="D312" s="178"/>
      <c r="E312" s="178"/>
    </row>
    <row r="313" spans="1:5" s="1" customFormat="1" ht="12.75">
      <c r="A313" s="159"/>
      <c r="B313" s="178"/>
      <c r="C313" s="178"/>
      <c r="D313" s="178"/>
      <c r="E313" s="178"/>
    </row>
    <row r="314" spans="1:5" s="1" customFormat="1" ht="12.75">
      <c r="A314" s="159"/>
      <c r="B314" s="178"/>
      <c r="C314" s="178"/>
      <c r="D314" s="178"/>
      <c r="E314" s="178"/>
    </row>
    <row r="315" spans="1:5" s="1" customFormat="1" ht="12.75">
      <c r="A315" s="159"/>
      <c r="B315" s="178"/>
      <c r="C315" s="178"/>
      <c r="D315" s="178"/>
      <c r="E315" s="178"/>
    </row>
    <row r="316" spans="1:5" s="1" customFormat="1" ht="12.75">
      <c r="A316" s="159"/>
      <c r="B316" s="178"/>
      <c r="C316" s="178"/>
      <c r="D316" s="178"/>
      <c r="E316" s="178"/>
    </row>
    <row r="317" spans="1:5" s="1" customFormat="1" ht="12.75">
      <c r="A317" s="159"/>
      <c r="B317" s="178"/>
      <c r="C317" s="178"/>
      <c r="D317" s="178"/>
      <c r="E317" s="178"/>
    </row>
    <row r="318" spans="1:5" s="1" customFormat="1" ht="12.75">
      <c r="A318" s="159"/>
      <c r="B318" s="178"/>
      <c r="C318" s="178"/>
      <c r="D318" s="178"/>
      <c r="E318" s="178"/>
    </row>
    <row r="319" spans="1:5" s="1" customFormat="1" ht="12.75">
      <c r="A319" s="159"/>
      <c r="B319" s="178"/>
      <c r="C319" s="178"/>
      <c r="D319" s="178"/>
      <c r="E319" s="178"/>
    </row>
    <row r="320" spans="1:5" s="1" customFormat="1" ht="12.75">
      <c r="A320" s="159"/>
      <c r="B320" s="178"/>
      <c r="C320" s="178"/>
      <c r="D320" s="178"/>
      <c r="E320" s="178"/>
    </row>
    <row r="321" spans="1:5" s="1" customFormat="1" ht="12.75">
      <c r="A321" s="159"/>
      <c r="B321" s="178"/>
      <c r="C321" s="178"/>
      <c r="D321" s="178"/>
      <c r="E321" s="178"/>
    </row>
    <row r="322" spans="1:5" s="1" customFormat="1" ht="12.75">
      <c r="A322" s="159"/>
      <c r="B322" s="178"/>
      <c r="C322" s="178"/>
      <c r="D322" s="178"/>
      <c r="E322" s="178"/>
    </row>
    <row r="323" spans="1:5" s="1" customFormat="1" ht="12.75">
      <c r="A323" s="159"/>
      <c r="B323" s="178"/>
      <c r="C323" s="178"/>
      <c r="D323" s="178"/>
      <c r="E323" s="178"/>
    </row>
    <row r="324" spans="1:5" s="1" customFormat="1" ht="12.75">
      <c r="A324" s="159"/>
      <c r="B324" s="178"/>
      <c r="C324" s="178"/>
      <c r="D324" s="178"/>
      <c r="E324" s="178"/>
    </row>
    <row r="325" spans="1:5" s="1" customFormat="1" ht="12.75">
      <c r="A325" s="159"/>
      <c r="B325" s="178"/>
      <c r="C325" s="178"/>
      <c r="D325" s="178"/>
      <c r="E325" s="178"/>
    </row>
    <row r="326" spans="1:5" s="1" customFormat="1" ht="12.75">
      <c r="A326" s="159"/>
      <c r="B326" s="178"/>
      <c r="C326" s="178"/>
      <c r="D326" s="178"/>
      <c r="E326" s="178"/>
    </row>
    <row r="327" spans="1:5" s="1" customFormat="1" ht="12.75">
      <c r="A327" s="159"/>
      <c r="B327" s="178"/>
      <c r="C327" s="178"/>
      <c r="D327" s="178"/>
      <c r="E327" s="178"/>
    </row>
    <row r="328" spans="1:5" s="1" customFormat="1" ht="12.75">
      <c r="A328" s="159"/>
      <c r="B328" s="178"/>
      <c r="C328" s="178"/>
      <c r="D328" s="178"/>
      <c r="E328" s="178"/>
    </row>
    <row r="329" spans="1:5" s="1" customFormat="1" ht="12.75">
      <c r="A329" s="159"/>
      <c r="B329" s="178"/>
      <c r="C329" s="178"/>
      <c r="D329" s="178"/>
      <c r="E329" s="178"/>
    </row>
    <row r="330" spans="1:5" s="1" customFormat="1" ht="12.75">
      <c r="A330" s="159"/>
      <c r="B330" s="178"/>
      <c r="C330" s="178"/>
      <c r="D330" s="178"/>
      <c r="E330" s="178"/>
    </row>
    <row r="331" spans="1:5" s="1" customFormat="1" ht="12.75">
      <c r="A331" s="159"/>
      <c r="B331" s="178"/>
      <c r="C331" s="178"/>
      <c r="D331" s="178"/>
      <c r="E331" s="178"/>
    </row>
    <row r="332" spans="1:5" s="1" customFormat="1" ht="12.75">
      <c r="A332" s="159"/>
      <c r="B332" s="178"/>
      <c r="C332" s="178"/>
      <c r="D332" s="178"/>
      <c r="E332" s="178"/>
    </row>
    <row r="333" spans="1:5" s="1" customFormat="1" ht="12.75">
      <c r="A333" s="159"/>
      <c r="B333" s="178"/>
      <c r="C333" s="178"/>
      <c r="D333" s="178"/>
      <c r="E333" s="178"/>
    </row>
    <row r="334" spans="1:5" s="1" customFormat="1" ht="12.75">
      <c r="A334" s="159"/>
      <c r="B334" s="178"/>
      <c r="C334" s="178"/>
      <c r="D334" s="178"/>
      <c r="E334" s="178"/>
    </row>
    <row r="335" spans="1:5" s="1" customFormat="1" ht="12.75">
      <c r="A335" s="159"/>
      <c r="B335" s="178"/>
      <c r="C335" s="178"/>
      <c r="D335" s="178"/>
      <c r="E335" s="178"/>
    </row>
    <row r="336" spans="1:5" s="1" customFormat="1" ht="12.75">
      <c r="A336" s="159"/>
      <c r="B336" s="178"/>
      <c r="C336" s="178"/>
      <c r="D336" s="178"/>
      <c r="E336" s="178"/>
    </row>
    <row r="337" spans="1:5" s="1" customFormat="1" ht="12.75">
      <c r="A337" s="159"/>
      <c r="B337" s="178"/>
      <c r="C337" s="178"/>
      <c r="D337" s="178"/>
      <c r="E337" s="178"/>
    </row>
    <row r="338" spans="1:5" s="1" customFormat="1" ht="12.75">
      <c r="A338" s="159"/>
      <c r="B338" s="178"/>
      <c r="C338" s="178"/>
      <c r="D338" s="178"/>
      <c r="E338" s="178"/>
    </row>
    <row r="339" spans="1:5" s="1" customFormat="1" ht="12.75">
      <c r="A339" s="159"/>
      <c r="B339" s="178"/>
      <c r="C339" s="178"/>
      <c r="D339" s="178"/>
      <c r="E339" s="178"/>
    </row>
    <row r="340" spans="1:5" s="1" customFormat="1" ht="12.75">
      <c r="A340" s="159"/>
      <c r="B340" s="178"/>
      <c r="C340" s="178"/>
      <c r="D340" s="178"/>
      <c r="E340" s="178"/>
    </row>
    <row r="341" spans="1:5" s="1" customFormat="1" ht="12.75">
      <c r="A341" s="159"/>
      <c r="B341" s="178"/>
      <c r="C341" s="178"/>
      <c r="D341" s="178"/>
      <c r="E341" s="178"/>
    </row>
    <row r="342" spans="1:5" s="1" customFormat="1" ht="12.75">
      <c r="A342" s="159"/>
      <c r="B342" s="178"/>
      <c r="C342" s="178"/>
      <c r="D342" s="178"/>
      <c r="E342" s="178"/>
    </row>
    <row r="343" spans="1:5" s="1" customFormat="1" ht="12.75">
      <c r="A343" s="159"/>
      <c r="B343" s="178"/>
      <c r="C343" s="178"/>
      <c r="D343" s="178"/>
      <c r="E343" s="178"/>
    </row>
    <row r="344" spans="1:5" s="1" customFormat="1" ht="12.75">
      <c r="A344" s="159"/>
      <c r="B344" s="178"/>
      <c r="C344" s="178"/>
      <c r="D344" s="178"/>
      <c r="E344" s="178"/>
    </row>
    <row r="345" spans="1:5" s="1" customFormat="1" ht="12.75">
      <c r="A345" s="159"/>
      <c r="B345" s="178"/>
      <c r="C345" s="178"/>
      <c r="D345" s="178"/>
      <c r="E345" s="178"/>
    </row>
    <row r="346" spans="1:5" s="1" customFormat="1" ht="12.75">
      <c r="A346" s="159"/>
      <c r="B346" s="178"/>
      <c r="C346" s="178"/>
      <c r="D346" s="178"/>
      <c r="E346" s="178"/>
    </row>
    <row r="347" spans="1:5" s="1" customFormat="1" ht="12.75">
      <c r="A347" s="159"/>
      <c r="B347" s="178"/>
      <c r="C347" s="178"/>
      <c r="D347" s="178"/>
      <c r="E347" s="178"/>
    </row>
    <row r="348" spans="1:5" s="1" customFormat="1" ht="12.75">
      <c r="A348" s="159"/>
      <c r="B348" s="178"/>
      <c r="C348" s="178"/>
      <c r="D348" s="178"/>
      <c r="E348" s="178"/>
    </row>
    <row r="349" spans="1:5" s="1" customFormat="1" ht="12.75">
      <c r="A349" s="159"/>
      <c r="B349" s="178"/>
      <c r="C349" s="178"/>
      <c r="D349" s="178"/>
      <c r="E349" s="178"/>
    </row>
    <row r="350" spans="1:5" s="1" customFormat="1" ht="12.75">
      <c r="A350" s="159"/>
      <c r="B350" s="178"/>
      <c r="C350" s="178"/>
      <c r="D350" s="178"/>
      <c r="E350" s="178"/>
    </row>
    <row r="351" spans="1:5" s="1" customFormat="1" ht="12.75">
      <c r="A351" s="159"/>
      <c r="B351" s="178"/>
      <c r="C351" s="178"/>
      <c r="D351" s="178"/>
      <c r="E351" s="178"/>
    </row>
    <row r="352" spans="1:5" s="1" customFormat="1" ht="12.75">
      <c r="A352" s="159"/>
      <c r="B352" s="178"/>
      <c r="C352" s="178"/>
      <c r="D352" s="178"/>
      <c r="E352" s="178"/>
    </row>
    <row r="353" spans="1:5" s="1" customFormat="1" ht="12.75">
      <c r="A353" s="159"/>
      <c r="B353" s="178"/>
      <c r="C353" s="178"/>
      <c r="D353" s="178"/>
      <c r="E353" s="178"/>
    </row>
    <row r="354" spans="1:5" s="1" customFormat="1" ht="12.75">
      <c r="A354" s="159"/>
      <c r="B354" s="178"/>
      <c r="C354" s="178"/>
      <c r="D354" s="178"/>
      <c r="E354" s="178"/>
    </row>
    <row r="355" spans="1:5" s="1" customFormat="1" ht="12.75">
      <c r="A355" s="159"/>
      <c r="B355" s="178"/>
      <c r="C355" s="178"/>
      <c r="D355" s="178"/>
      <c r="E355" s="178"/>
    </row>
    <row r="356" spans="1:5" s="1" customFormat="1" ht="12.75">
      <c r="A356" s="159"/>
      <c r="B356" s="178"/>
      <c r="C356" s="178"/>
      <c r="D356" s="178"/>
      <c r="E356" s="178"/>
    </row>
    <row r="357" spans="1:5" s="1" customFormat="1" ht="12.75">
      <c r="A357" s="159"/>
      <c r="B357" s="178"/>
      <c r="C357" s="178"/>
      <c r="D357" s="178"/>
      <c r="E357" s="178"/>
    </row>
    <row r="358" spans="1:5" s="1" customFormat="1" ht="12.75">
      <c r="A358" s="159"/>
      <c r="B358" s="178"/>
      <c r="C358" s="178"/>
      <c r="D358" s="178"/>
      <c r="E358" s="178"/>
    </row>
    <row r="359" spans="1:5" s="1" customFormat="1" ht="12.75">
      <c r="A359" s="159"/>
      <c r="B359" s="178"/>
      <c r="C359" s="178"/>
      <c r="D359" s="178"/>
      <c r="E359" s="178"/>
    </row>
    <row r="360" spans="1:5" s="1" customFormat="1" ht="12.75">
      <c r="A360" s="159"/>
      <c r="B360" s="178"/>
      <c r="C360" s="178"/>
      <c r="D360" s="178"/>
      <c r="E360" s="178"/>
    </row>
    <row r="361" spans="1:5" s="1" customFormat="1" ht="12.75">
      <c r="A361" s="159"/>
      <c r="B361" s="178"/>
      <c r="C361" s="178"/>
      <c r="D361" s="178"/>
      <c r="E361" s="178"/>
    </row>
    <row r="362" spans="1:5" s="1" customFormat="1" ht="12.75">
      <c r="A362" s="159"/>
      <c r="B362" s="178"/>
      <c r="C362" s="178"/>
      <c r="D362" s="178"/>
      <c r="E362" s="178"/>
    </row>
    <row r="363" spans="1:5" s="1" customFormat="1" ht="12.75">
      <c r="A363" s="159"/>
      <c r="B363" s="178"/>
      <c r="C363" s="178"/>
      <c r="D363" s="178"/>
      <c r="E363" s="178"/>
    </row>
    <row r="364" spans="1:5" s="1" customFormat="1" ht="12.75">
      <c r="A364" s="159"/>
      <c r="B364" s="178"/>
      <c r="C364" s="178"/>
      <c r="D364" s="178"/>
      <c r="E364" s="178"/>
    </row>
    <row r="365" spans="1:5" s="1" customFormat="1" ht="12.75">
      <c r="A365" s="159"/>
      <c r="B365" s="178"/>
      <c r="C365" s="178"/>
      <c r="D365" s="178"/>
      <c r="E365" s="178"/>
    </row>
    <row r="366" spans="1:5" s="1" customFormat="1" ht="12.75">
      <c r="A366" s="159"/>
      <c r="B366" s="178"/>
      <c r="C366" s="178"/>
      <c r="D366" s="178"/>
      <c r="E366" s="178"/>
    </row>
    <row r="367" spans="1:5" s="1" customFormat="1" ht="12.75">
      <c r="A367" s="159"/>
      <c r="B367" s="178"/>
      <c r="C367" s="178"/>
      <c r="D367" s="178"/>
      <c r="E367" s="178"/>
    </row>
    <row r="368" spans="1:5" s="1" customFormat="1" ht="12.75">
      <c r="A368" s="159"/>
      <c r="B368" s="178"/>
      <c r="C368" s="178"/>
      <c r="D368" s="178"/>
      <c r="E368" s="178"/>
    </row>
    <row r="369" spans="1:5" s="1" customFormat="1" ht="12.75">
      <c r="A369" s="159"/>
      <c r="B369" s="178"/>
      <c r="C369" s="178"/>
      <c r="D369" s="178"/>
      <c r="E369" s="178"/>
    </row>
    <row r="370" spans="1:5" s="1" customFormat="1" ht="12.75">
      <c r="A370" s="159"/>
      <c r="B370" s="178"/>
      <c r="C370" s="178"/>
      <c r="D370" s="178"/>
      <c r="E370" s="178"/>
    </row>
    <row r="371" spans="1:5" s="1" customFormat="1" ht="12.75">
      <c r="A371" s="159"/>
      <c r="B371" s="178"/>
      <c r="C371" s="178"/>
      <c r="D371" s="178"/>
      <c r="E371" s="178"/>
    </row>
    <row r="372" spans="1:5" s="1" customFormat="1" ht="12.75">
      <c r="A372" s="159"/>
      <c r="B372" s="178"/>
      <c r="C372" s="178"/>
      <c r="D372" s="178"/>
      <c r="E372" s="178"/>
    </row>
    <row r="373" spans="1:5" s="1" customFormat="1" ht="12.75">
      <c r="A373" s="159"/>
      <c r="B373" s="178"/>
      <c r="C373" s="178"/>
      <c r="D373" s="178"/>
      <c r="E373" s="178"/>
    </row>
    <row r="374" spans="1:5" s="1" customFormat="1" ht="12.75">
      <c r="A374" s="159"/>
      <c r="B374" s="178"/>
      <c r="C374" s="178"/>
      <c r="D374" s="178"/>
      <c r="E374" s="178"/>
    </row>
    <row r="375" spans="1:5" s="1" customFormat="1" ht="12.75">
      <c r="A375" s="159"/>
      <c r="B375" s="178"/>
      <c r="C375" s="178"/>
      <c r="D375" s="178"/>
      <c r="E375" s="178"/>
    </row>
    <row r="376" spans="1:5" s="1" customFormat="1" ht="12.75">
      <c r="A376" s="159"/>
      <c r="B376" s="178"/>
      <c r="C376" s="178"/>
      <c r="D376" s="178"/>
      <c r="E376" s="178"/>
    </row>
    <row r="377" spans="1:5" s="1" customFormat="1" ht="12.75">
      <c r="A377" s="159"/>
      <c r="B377" s="178"/>
      <c r="C377" s="178"/>
      <c r="D377" s="178"/>
      <c r="E377" s="178"/>
    </row>
    <row r="378" spans="1:5" s="1" customFormat="1" ht="12.75">
      <c r="A378" s="159"/>
      <c r="B378" s="178"/>
      <c r="C378" s="178"/>
      <c r="D378" s="178"/>
      <c r="E378" s="178"/>
    </row>
    <row r="379" spans="1:5" s="1" customFormat="1" ht="12.75">
      <c r="A379" s="159"/>
      <c r="B379" s="178"/>
      <c r="C379" s="178"/>
      <c r="D379" s="178"/>
      <c r="E379" s="178"/>
    </row>
    <row r="380" spans="1:5" s="1" customFormat="1" ht="12.75">
      <c r="A380" s="159"/>
      <c r="B380" s="178"/>
      <c r="C380" s="178"/>
      <c r="D380" s="178"/>
      <c r="E380" s="178"/>
    </row>
    <row r="381" spans="1:5" s="1" customFormat="1" ht="12.75">
      <c r="A381" s="159"/>
      <c r="B381" s="178"/>
      <c r="C381" s="178"/>
      <c r="D381" s="178"/>
      <c r="E381" s="178"/>
    </row>
    <row r="382" spans="1:5" s="1" customFormat="1" ht="12.75">
      <c r="A382" s="159"/>
      <c r="B382" s="178"/>
      <c r="C382" s="178"/>
      <c r="D382" s="178"/>
      <c r="E382" s="178"/>
    </row>
    <row r="383" spans="1:5" s="1" customFormat="1" ht="12.75">
      <c r="A383" s="159"/>
      <c r="B383" s="178"/>
      <c r="C383" s="178"/>
      <c r="D383" s="178"/>
      <c r="E383" s="178"/>
    </row>
    <row r="384" spans="1:5" s="1" customFormat="1" ht="12.75">
      <c r="A384" s="159"/>
      <c r="B384" s="178"/>
      <c r="C384" s="178"/>
      <c r="D384" s="178"/>
      <c r="E384" s="178"/>
    </row>
    <row r="385" spans="1:5" s="1" customFormat="1" ht="12.75">
      <c r="A385" s="159"/>
      <c r="B385" s="178"/>
      <c r="C385" s="178"/>
      <c r="D385" s="178"/>
      <c r="E385" s="178"/>
    </row>
    <row r="386" spans="1:5" s="1" customFormat="1" ht="12.75">
      <c r="A386" s="159"/>
      <c r="B386" s="178"/>
      <c r="C386" s="178"/>
      <c r="D386" s="178"/>
      <c r="E386" s="178"/>
    </row>
    <row r="387" spans="1:5" s="1" customFormat="1" ht="12.75">
      <c r="A387" s="159"/>
      <c r="B387" s="178"/>
      <c r="C387" s="178"/>
      <c r="D387" s="178"/>
      <c r="E387" s="178"/>
    </row>
    <row r="388" spans="1:5" s="1" customFormat="1" ht="12.75">
      <c r="A388" s="159"/>
      <c r="B388" s="178"/>
      <c r="C388" s="178"/>
      <c r="D388" s="178"/>
      <c r="E388" s="178"/>
    </row>
    <row r="389" spans="1:5" s="1" customFormat="1" ht="12.75">
      <c r="A389" s="159"/>
      <c r="B389" s="178"/>
      <c r="C389" s="178"/>
      <c r="D389" s="178"/>
      <c r="E389" s="178"/>
    </row>
    <row r="390" spans="1:5" s="1" customFormat="1" ht="12.75">
      <c r="A390" s="159"/>
      <c r="B390" s="178"/>
      <c r="C390" s="178"/>
      <c r="D390" s="178"/>
      <c r="E390" s="178"/>
    </row>
    <row r="391" spans="1:5" s="1" customFormat="1" ht="12.75">
      <c r="A391" s="159"/>
      <c r="B391" s="178"/>
      <c r="C391" s="178"/>
      <c r="D391" s="178"/>
      <c r="E391" s="178"/>
    </row>
    <row r="392" spans="1:5" s="1" customFormat="1" ht="12.75">
      <c r="A392" s="159"/>
      <c r="B392" s="178"/>
      <c r="C392" s="178"/>
      <c r="D392" s="178"/>
      <c r="E392" s="178"/>
    </row>
    <row r="393" spans="1:5" s="1" customFormat="1" ht="12.75">
      <c r="A393" s="159"/>
      <c r="B393" s="178"/>
      <c r="C393" s="178"/>
      <c r="D393" s="178"/>
      <c r="E393" s="178"/>
    </row>
    <row r="394" spans="1:5" s="1" customFormat="1" ht="12.75">
      <c r="A394" s="159"/>
      <c r="B394" s="178"/>
      <c r="C394" s="178"/>
      <c r="D394" s="178"/>
      <c r="E394" s="178"/>
    </row>
    <row r="395" spans="1:5" s="1" customFormat="1" ht="12.75">
      <c r="A395" s="159"/>
      <c r="B395" s="178"/>
      <c r="C395" s="178"/>
      <c r="D395" s="178"/>
      <c r="E395" s="178"/>
    </row>
    <row r="396" spans="1:5" s="1" customFormat="1" ht="12.75">
      <c r="A396" s="159"/>
      <c r="B396" s="178"/>
      <c r="C396" s="178"/>
      <c r="D396" s="178"/>
      <c r="E396" s="178"/>
    </row>
    <row r="397" spans="1:5" s="1" customFormat="1" ht="12.75">
      <c r="A397" s="159"/>
      <c r="B397" s="178"/>
      <c r="C397" s="178"/>
      <c r="D397" s="178"/>
      <c r="E397" s="178"/>
    </row>
    <row r="398" spans="1:5" s="1" customFormat="1" ht="12.75">
      <c r="A398" s="159"/>
      <c r="B398" s="178"/>
      <c r="C398" s="178"/>
      <c r="D398" s="178"/>
      <c r="E398" s="178"/>
    </row>
    <row r="399" spans="1:5" s="1" customFormat="1" ht="12.75">
      <c r="A399" s="159"/>
      <c r="B399" s="178"/>
      <c r="C399" s="178"/>
      <c r="D399" s="178"/>
      <c r="E399" s="178"/>
    </row>
    <row r="400" spans="1:5" s="1" customFormat="1" ht="12.75">
      <c r="A400" s="159"/>
      <c r="B400" s="178"/>
      <c r="C400" s="178"/>
      <c r="D400" s="178"/>
      <c r="E400" s="178"/>
    </row>
    <row r="401" spans="1:5" s="1" customFormat="1" ht="12.75">
      <c r="A401" s="159"/>
      <c r="B401" s="178"/>
      <c r="C401" s="178"/>
      <c r="D401" s="178"/>
      <c r="E401" s="178"/>
    </row>
    <row r="402" spans="1:5" s="1" customFormat="1" ht="12.75">
      <c r="A402" s="159"/>
      <c r="B402" s="178"/>
      <c r="C402" s="178"/>
      <c r="D402" s="178"/>
      <c r="E402" s="178"/>
    </row>
    <row r="403" spans="1:5" s="1" customFormat="1" ht="12.75">
      <c r="A403" s="159"/>
      <c r="B403" s="178"/>
      <c r="C403" s="178"/>
      <c r="D403" s="178"/>
      <c r="E403" s="178"/>
    </row>
    <row r="404" spans="1:5" s="1" customFormat="1" ht="12.75">
      <c r="A404" s="159"/>
      <c r="B404" s="178"/>
      <c r="C404" s="178"/>
      <c r="D404" s="178"/>
      <c r="E404" s="178"/>
    </row>
    <row r="405" spans="1:5" s="1" customFormat="1" ht="12.75">
      <c r="A405" s="159"/>
      <c r="B405" s="178"/>
      <c r="C405" s="178"/>
      <c r="D405" s="178"/>
      <c r="E405" s="178"/>
    </row>
    <row r="406" spans="1:5" s="1" customFormat="1" ht="12.75">
      <c r="A406" s="159"/>
      <c r="B406" s="178"/>
      <c r="C406" s="178"/>
      <c r="D406" s="178"/>
      <c r="E406" s="178"/>
    </row>
    <row r="407" spans="1:5" s="1" customFormat="1" ht="12.75">
      <c r="A407" s="159"/>
      <c r="B407" s="178"/>
      <c r="C407" s="178"/>
      <c r="D407" s="178"/>
      <c r="E407" s="178"/>
    </row>
    <row r="408" spans="1:5" s="1" customFormat="1" ht="12.75">
      <c r="A408" s="159"/>
      <c r="B408" s="178"/>
      <c r="C408" s="178"/>
      <c r="D408" s="178"/>
      <c r="E408" s="178"/>
    </row>
    <row r="409" spans="1:5" s="1" customFormat="1" ht="12.75">
      <c r="A409" s="159"/>
      <c r="B409" s="178"/>
      <c r="C409" s="178"/>
      <c r="D409" s="178"/>
      <c r="E409" s="178"/>
    </row>
    <row r="410" spans="1:5" s="1" customFormat="1" ht="12.75">
      <c r="A410" s="159"/>
      <c r="B410" s="178"/>
      <c r="C410" s="178"/>
      <c r="D410" s="178"/>
      <c r="E410" s="178"/>
    </row>
    <row r="411" spans="1:5" s="1" customFormat="1" ht="12.75">
      <c r="A411" s="159"/>
      <c r="B411" s="178"/>
      <c r="C411" s="178"/>
      <c r="D411" s="178"/>
      <c r="E411" s="178"/>
    </row>
    <row r="412" spans="1:5" s="1" customFormat="1" ht="12.75">
      <c r="A412" s="159"/>
      <c r="B412" s="178"/>
      <c r="C412" s="178"/>
      <c r="D412" s="178"/>
      <c r="E412" s="178"/>
    </row>
    <row r="413" spans="1:5" s="1" customFormat="1" ht="12.75">
      <c r="A413" s="159"/>
      <c r="B413" s="178"/>
      <c r="C413" s="178"/>
      <c r="D413" s="178"/>
      <c r="E413" s="178"/>
    </row>
    <row r="414" spans="1:5" s="1" customFormat="1" ht="12.75">
      <c r="A414" s="159"/>
      <c r="B414" s="178"/>
      <c r="C414" s="178"/>
      <c r="D414" s="178"/>
      <c r="E414" s="178"/>
    </row>
    <row r="415" spans="1:5" s="1" customFormat="1" ht="12.75">
      <c r="A415" s="159"/>
      <c r="B415" s="178"/>
      <c r="C415" s="178"/>
      <c r="D415" s="178"/>
      <c r="E415" s="178"/>
    </row>
    <row r="416" spans="1:5" s="1" customFormat="1" ht="12.75">
      <c r="A416" s="159"/>
      <c r="B416" s="178"/>
      <c r="C416" s="178"/>
      <c r="D416" s="178"/>
      <c r="E416" s="178"/>
    </row>
    <row r="417" spans="1:5" s="1" customFormat="1" ht="12.75">
      <c r="A417" s="159"/>
      <c r="B417" s="178"/>
      <c r="C417" s="178"/>
      <c r="D417" s="178"/>
      <c r="E417" s="178"/>
    </row>
    <row r="418" spans="1:5" s="1" customFormat="1" ht="12.75">
      <c r="A418" s="159"/>
      <c r="B418" s="178"/>
      <c r="C418" s="178"/>
      <c r="D418" s="178"/>
      <c r="E418" s="178"/>
    </row>
    <row r="419" spans="1:5" s="1" customFormat="1" ht="12.75">
      <c r="A419" s="159"/>
      <c r="B419" s="178"/>
      <c r="C419" s="178"/>
      <c r="D419" s="178"/>
      <c r="E419" s="178"/>
    </row>
    <row r="420" spans="1:5" s="1" customFormat="1" ht="12.75">
      <c r="A420" s="159"/>
      <c r="B420" s="178"/>
      <c r="C420" s="178"/>
      <c r="D420" s="178"/>
      <c r="E420" s="178"/>
    </row>
    <row r="421" spans="1:5" s="1" customFormat="1" ht="12.75">
      <c r="A421" s="159"/>
      <c r="B421" s="178"/>
      <c r="C421" s="178"/>
      <c r="D421" s="178"/>
      <c r="E421" s="178"/>
    </row>
    <row r="422" spans="1:5" s="1" customFormat="1" ht="12.75">
      <c r="A422" s="159"/>
      <c r="B422" s="178"/>
      <c r="C422" s="178"/>
      <c r="D422" s="178"/>
      <c r="E422" s="178"/>
    </row>
    <row r="423" spans="1:5" s="1" customFormat="1" ht="12.75">
      <c r="A423" s="159"/>
      <c r="B423" s="178"/>
      <c r="C423" s="178"/>
      <c r="D423" s="178"/>
      <c r="E423" s="178"/>
    </row>
    <row r="424" spans="1:5" s="1" customFormat="1" ht="12.75">
      <c r="A424" s="159"/>
      <c r="B424" s="178"/>
      <c r="C424" s="178"/>
      <c r="D424" s="178"/>
      <c r="E424" s="178"/>
    </row>
    <row r="425" spans="1:5" s="1" customFormat="1" ht="12.75">
      <c r="A425" s="159"/>
      <c r="B425" s="178"/>
      <c r="C425" s="178"/>
      <c r="D425" s="178"/>
      <c r="E425" s="178"/>
    </row>
    <row r="426" spans="1:5" s="1" customFormat="1" ht="12.75">
      <c r="A426" s="159"/>
      <c r="B426" s="178"/>
      <c r="C426" s="178"/>
      <c r="D426" s="178"/>
      <c r="E426" s="178"/>
    </row>
    <row r="427" spans="1:5" s="1" customFormat="1" ht="12.75">
      <c r="A427" s="159"/>
      <c r="B427" s="178"/>
      <c r="C427" s="178"/>
      <c r="D427" s="178"/>
      <c r="E427" s="178"/>
    </row>
    <row r="428" spans="1:5" s="1" customFormat="1" ht="12.75">
      <c r="A428" s="159"/>
      <c r="B428" s="178"/>
      <c r="C428" s="178"/>
      <c r="D428" s="178"/>
      <c r="E428" s="178"/>
    </row>
    <row r="429" spans="1:5" s="1" customFormat="1" ht="12.75">
      <c r="A429" s="159"/>
      <c r="B429" s="178"/>
      <c r="C429" s="178"/>
      <c r="D429" s="178"/>
      <c r="E429" s="178"/>
    </row>
    <row r="430" spans="1:5" s="1" customFormat="1" ht="12.75">
      <c r="A430" s="159"/>
      <c r="B430" s="178"/>
      <c r="C430" s="178"/>
      <c r="D430" s="178"/>
      <c r="E430" s="178"/>
    </row>
    <row r="431" spans="1:5" s="1" customFormat="1" ht="12.75">
      <c r="A431" s="159"/>
      <c r="B431" s="178"/>
      <c r="C431" s="178"/>
      <c r="D431" s="178"/>
      <c r="E431" s="178"/>
    </row>
    <row r="432" spans="1:5" s="1" customFormat="1" ht="12.75">
      <c r="A432" s="159"/>
      <c r="B432" s="178"/>
      <c r="C432" s="178"/>
      <c r="D432" s="178"/>
      <c r="E432" s="178"/>
    </row>
    <row r="433" spans="1:5" s="1" customFormat="1" ht="12.75">
      <c r="A433" s="159"/>
      <c r="B433" s="178"/>
      <c r="C433" s="178"/>
      <c r="D433" s="178"/>
      <c r="E433" s="178"/>
    </row>
    <row r="434" spans="1:5" s="1" customFormat="1" ht="12.75">
      <c r="A434" s="159"/>
      <c r="B434" s="178"/>
      <c r="C434" s="178"/>
      <c r="D434" s="178"/>
      <c r="E434" s="178"/>
    </row>
    <row r="435" spans="1:5" s="1" customFormat="1" ht="12.75">
      <c r="A435" s="159"/>
      <c r="B435" s="178"/>
      <c r="C435" s="178"/>
      <c r="D435" s="178"/>
      <c r="E435" s="178"/>
    </row>
    <row r="436" spans="1:5" s="1" customFormat="1" ht="12.75">
      <c r="A436" s="159"/>
      <c r="B436" s="178"/>
      <c r="C436" s="178"/>
      <c r="D436" s="178"/>
      <c r="E436" s="178"/>
    </row>
    <row r="437" spans="1:5" s="1" customFormat="1" ht="12.75">
      <c r="A437" s="159"/>
      <c r="B437" s="178"/>
      <c r="C437" s="178"/>
      <c r="D437" s="178"/>
      <c r="E437" s="178"/>
    </row>
    <row r="438" spans="1:5" s="1" customFormat="1" ht="12.75">
      <c r="A438" s="159"/>
      <c r="B438" s="178"/>
      <c r="C438" s="178"/>
      <c r="D438" s="178"/>
      <c r="E438" s="178"/>
    </row>
    <row r="439" spans="1:5" s="1" customFormat="1" ht="12.75">
      <c r="A439" s="159"/>
      <c r="B439" s="178"/>
      <c r="C439" s="178"/>
      <c r="D439" s="178"/>
      <c r="E439" s="178"/>
    </row>
    <row r="440" spans="1:5" s="1" customFormat="1" ht="12.75">
      <c r="A440" s="159"/>
      <c r="B440" s="178"/>
      <c r="C440" s="178"/>
      <c r="D440" s="178"/>
      <c r="E440" s="178"/>
    </row>
    <row r="441" spans="1:5" s="1" customFormat="1" ht="12.75">
      <c r="A441" s="159"/>
      <c r="B441" s="178"/>
      <c r="C441" s="178"/>
      <c r="D441" s="178"/>
      <c r="E441" s="178"/>
    </row>
    <row r="442" spans="1:5" s="1" customFormat="1" ht="12.75">
      <c r="A442" s="159"/>
      <c r="B442" s="178"/>
      <c r="C442" s="178"/>
      <c r="D442" s="178"/>
      <c r="E442" s="178"/>
    </row>
    <row r="443" spans="1:5" s="1" customFormat="1" ht="12.75">
      <c r="A443" s="159"/>
      <c r="B443" s="178"/>
      <c r="C443" s="178"/>
      <c r="D443" s="178"/>
      <c r="E443" s="178"/>
    </row>
    <row r="444" spans="1:5" s="1" customFormat="1" ht="12.75">
      <c r="A444" s="159"/>
      <c r="B444" s="178"/>
      <c r="C444" s="178"/>
      <c r="D444" s="178"/>
      <c r="E444" s="178"/>
    </row>
    <row r="445" spans="1:5" s="1" customFormat="1" ht="12.75">
      <c r="A445" s="159"/>
      <c r="B445" s="178"/>
      <c r="C445" s="178"/>
      <c r="D445" s="178"/>
      <c r="E445" s="178"/>
    </row>
    <row r="446" spans="1:5" s="1" customFormat="1" ht="12.75">
      <c r="A446" s="159"/>
      <c r="B446" s="178"/>
      <c r="C446" s="178"/>
      <c r="D446" s="178"/>
      <c r="E446" s="178"/>
    </row>
    <row r="447" spans="1:5" s="1" customFormat="1" ht="12.75">
      <c r="A447" s="159"/>
      <c r="B447" s="178"/>
      <c r="C447" s="178"/>
      <c r="D447" s="178"/>
      <c r="E447" s="178"/>
    </row>
    <row r="448" spans="1:5" s="1" customFormat="1" ht="12.75">
      <c r="A448" s="159"/>
      <c r="B448" s="178"/>
      <c r="C448" s="178"/>
      <c r="D448" s="178"/>
      <c r="E448" s="178"/>
    </row>
    <row r="449" spans="1:5" s="1" customFormat="1" ht="12.75">
      <c r="A449" s="159"/>
      <c r="B449" s="178"/>
      <c r="C449" s="178"/>
      <c r="D449" s="178"/>
      <c r="E449" s="178"/>
    </row>
    <row r="450" spans="1:5" s="1" customFormat="1" ht="12.75">
      <c r="A450" s="159"/>
      <c r="B450" s="178"/>
      <c r="C450" s="178"/>
      <c r="D450" s="178"/>
      <c r="E450" s="178"/>
    </row>
    <row r="451" spans="1:5" s="1" customFormat="1" ht="12.75">
      <c r="A451" s="159"/>
      <c r="B451" s="178"/>
      <c r="C451" s="178"/>
      <c r="D451" s="178"/>
      <c r="E451" s="178"/>
    </row>
    <row r="452" spans="1:5" s="1" customFormat="1" ht="12.75">
      <c r="A452" s="159"/>
      <c r="B452" s="178"/>
      <c r="C452" s="178"/>
      <c r="D452" s="178"/>
      <c r="E452" s="178"/>
    </row>
    <row r="453" spans="1:5" s="1" customFormat="1" ht="12.75">
      <c r="A453" s="159"/>
      <c r="B453" s="178"/>
      <c r="C453" s="178"/>
      <c r="D453" s="178"/>
      <c r="E453" s="178"/>
    </row>
    <row r="454" spans="1:5" s="1" customFormat="1" ht="12.75">
      <c r="A454" s="159"/>
      <c r="B454" s="178"/>
      <c r="C454" s="178"/>
      <c r="D454" s="178"/>
      <c r="E454" s="178"/>
    </row>
    <row r="455" spans="1:5" s="1" customFormat="1" ht="12.75">
      <c r="A455" s="159"/>
      <c r="B455" s="178"/>
      <c r="C455" s="178"/>
      <c r="D455" s="178"/>
      <c r="E455" s="178"/>
    </row>
    <row r="456" spans="1:5" s="1" customFormat="1" ht="12.75">
      <c r="A456" s="159"/>
      <c r="B456" s="178"/>
      <c r="C456" s="178"/>
      <c r="D456" s="178"/>
      <c r="E456" s="178"/>
    </row>
    <row r="457" spans="1:5" s="1" customFormat="1" ht="12.75">
      <c r="A457" s="159"/>
      <c r="B457" s="178"/>
      <c r="C457" s="178"/>
      <c r="D457" s="178"/>
      <c r="E457" s="178"/>
    </row>
    <row r="458" spans="1:5" s="1" customFormat="1" ht="12.75">
      <c r="A458" s="159"/>
      <c r="B458" s="178"/>
      <c r="C458" s="178"/>
      <c r="D458" s="178"/>
      <c r="E458" s="178"/>
    </row>
    <row r="459" spans="1:5" s="1" customFormat="1" ht="12.75">
      <c r="A459" s="159"/>
      <c r="B459" s="178"/>
      <c r="C459" s="178"/>
      <c r="D459" s="178"/>
      <c r="E459" s="178"/>
    </row>
    <row r="460" spans="1:5" s="1" customFormat="1" ht="12.75">
      <c r="A460" s="159"/>
      <c r="B460" s="178"/>
      <c r="C460" s="178"/>
      <c r="D460" s="178"/>
      <c r="E460" s="178"/>
    </row>
    <row r="461" spans="1:5" s="1" customFormat="1" ht="12.75">
      <c r="A461" s="159"/>
      <c r="B461" s="178"/>
      <c r="C461" s="178"/>
      <c r="D461" s="178"/>
      <c r="E461" s="178"/>
    </row>
    <row r="462" spans="1:5" s="1" customFormat="1" ht="12.75">
      <c r="A462" s="159"/>
      <c r="B462" s="178"/>
      <c r="C462" s="178"/>
      <c r="D462" s="178"/>
      <c r="E462" s="178"/>
    </row>
    <row r="463" spans="1:5" s="1" customFormat="1" ht="12.75">
      <c r="A463" s="159"/>
      <c r="B463" s="178"/>
      <c r="C463" s="178"/>
      <c r="D463" s="178"/>
      <c r="E463" s="178"/>
    </row>
    <row r="464" spans="1:5" s="1" customFormat="1" ht="12.75">
      <c r="A464" s="159"/>
      <c r="B464" s="178"/>
      <c r="C464" s="178"/>
      <c r="D464" s="178"/>
      <c r="E464" s="178"/>
    </row>
    <row r="465" spans="1:5" s="1" customFormat="1" ht="12.75">
      <c r="A465" s="159"/>
      <c r="B465" s="178"/>
      <c r="C465" s="178"/>
      <c r="D465" s="178"/>
      <c r="E465" s="178"/>
    </row>
    <row r="466" spans="1:5" s="1" customFormat="1" ht="12.75">
      <c r="A466" s="159"/>
      <c r="B466" s="178"/>
      <c r="C466" s="178"/>
      <c r="D466" s="178"/>
      <c r="E466" s="178"/>
    </row>
    <row r="467" spans="1:5" s="1" customFormat="1" ht="12.75">
      <c r="A467" s="159"/>
      <c r="B467" s="178"/>
      <c r="C467" s="178"/>
      <c r="D467" s="178"/>
      <c r="E467" s="178"/>
    </row>
    <row r="468" spans="1:5" s="1" customFormat="1" ht="12.75">
      <c r="A468" s="159"/>
      <c r="B468" s="178"/>
      <c r="C468" s="178"/>
      <c r="D468" s="178"/>
      <c r="E468" s="178"/>
    </row>
    <row r="469" spans="1:5" s="1" customFormat="1" ht="12.75">
      <c r="A469" s="159"/>
      <c r="B469" s="178"/>
      <c r="C469" s="178"/>
      <c r="D469" s="178"/>
      <c r="E469" s="178"/>
    </row>
    <row r="470" spans="1:5" s="1" customFormat="1" ht="12.75">
      <c r="A470" s="159"/>
      <c r="B470" s="178"/>
      <c r="C470" s="178"/>
      <c r="D470" s="178"/>
      <c r="E470" s="178"/>
    </row>
    <row r="471" spans="1:5" s="1" customFormat="1" ht="12.75">
      <c r="A471" s="159"/>
      <c r="B471" s="178"/>
      <c r="C471" s="178"/>
      <c r="D471" s="178"/>
      <c r="E471" s="178"/>
    </row>
    <row r="472" spans="1:5" s="1" customFormat="1" ht="12.75">
      <c r="A472" s="159"/>
      <c r="B472" s="178"/>
      <c r="C472" s="178"/>
      <c r="D472" s="178"/>
      <c r="E472" s="178"/>
    </row>
    <row r="473" spans="1:5" s="1" customFormat="1" ht="12.75">
      <c r="A473" s="159"/>
      <c r="B473" s="178"/>
      <c r="C473" s="178"/>
      <c r="D473" s="178"/>
      <c r="E473" s="178"/>
    </row>
    <row r="474" spans="1:5" s="1" customFormat="1" ht="12.75">
      <c r="A474" s="159"/>
      <c r="B474" s="178"/>
      <c r="C474" s="178"/>
      <c r="D474" s="178"/>
      <c r="E474" s="178"/>
    </row>
    <row r="475" spans="1:5" s="1" customFormat="1" ht="12.75">
      <c r="A475" s="159"/>
      <c r="B475" s="178"/>
      <c r="C475" s="178"/>
      <c r="D475" s="178"/>
      <c r="E475" s="178"/>
    </row>
    <row r="476" spans="1:5" s="1" customFormat="1" ht="12.75">
      <c r="A476" s="159"/>
      <c r="B476" s="178"/>
      <c r="C476" s="178"/>
      <c r="D476" s="178"/>
      <c r="E476" s="178"/>
    </row>
    <row r="477" spans="1:5" s="1" customFormat="1" ht="12.75">
      <c r="A477" s="159"/>
      <c r="B477" s="178"/>
      <c r="C477" s="178"/>
      <c r="D477" s="178"/>
      <c r="E477" s="178"/>
    </row>
    <row r="478" spans="1:5" s="1" customFormat="1" ht="12.75">
      <c r="A478" s="159"/>
      <c r="B478" s="178"/>
      <c r="C478" s="178"/>
      <c r="D478" s="178"/>
      <c r="E478" s="178"/>
    </row>
    <row r="479" spans="1:5" ht="12.75">
      <c r="A479" s="159"/>
    </row>
    <row r="488" spans="1:5">
      <c r="B488" s="220"/>
      <c r="C488" s="220"/>
      <c r="D488" s="220"/>
      <c r="E488" s="220"/>
    </row>
    <row r="489" spans="1:5">
      <c r="A489" s="174"/>
      <c r="B489" s="220"/>
      <c r="C489" s="220"/>
      <c r="D489" s="220"/>
      <c r="E489" s="220"/>
    </row>
    <row r="490" spans="1:5">
      <c r="A490" s="174"/>
      <c r="B490" s="220"/>
      <c r="C490" s="220"/>
      <c r="D490" s="220"/>
      <c r="E490" s="220"/>
    </row>
    <row r="491" spans="1:5">
      <c r="A491" s="174"/>
      <c r="B491" s="220"/>
      <c r="C491" s="220"/>
      <c r="D491" s="220"/>
      <c r="E491" s="220"/>
    </row>
    <row r="492" spans="1:5">
      <c r="A492" s="174"/>
      <c r="B492" s="220"/>
      <c r="C492" s="220"/>
      <c r="D492" s="220"/>
      <c r="E492" s="220"/>
    </row>
    <row r="493" spans="1:5">
      <c r="A493" s="174"/>
      <c r="B493" s="220"/>
      <c r="C493" s="220"/>
      <c r="D493" s="220"/>
      <c r="E493" s="220"/>
    </row>
    <row r="494" spans="1:5">
      <c r="A494" s="174"/>
      <c r="B494" s="220"/>
      <c r="C494" s="220"/>
      <c r="D494" s="220"/>
      <c r="E494" s="220"/>
    </row>
    <row r="495" spans="1:5">
      <c r="A495" s="174"/>
      <c r="B495" s="220"/>
      <c r="C495" s="220"/>
      <c r="D495" s="220"/>
      <c r="E495" s="220"/>
    </row>
    <row r="496" spans="1:5">
      <c r="A496" s="174"/>
      <c r="B496" s="220"/>
      <c r="C496" s="220"/>
      <c r="D496" s="220"/>
      <c r="E496" s="220"/>
    </row>
    <row r="497" spans="1:5">
      <c r="A497" s="174"/>
      <c r="B497" s="220"/>
      <c r="C497" s="220"/>
      <c r="D497" s="220"/>
      <c r="E497" s="220"/>
    </row>
    <row r="498" spans="1:5">
      <c r="A498" s="174"/>
      <c r="B498" s="220"/>
      <c r="C498" s="220"/>
      <c r="D498" s="220"/>
      <c r="E498" s="220"/>
    </row>
    <row r="499" spans="1:5">
      <c r="A499" s="174"/>
      <c r="B499" s="220"/>
      <c r="C499" s="220"/>
      <c r="D499" s="220"/>
      <c r="E499" s="220"/>
    </row>
    <row r="500" spans="1:5">
      <c r="A500" s="174"/>
      <c r="B500" s="220"/>
      <c r="C500" s="220"/>
      <c r="D500" s="220"/>
      <c r="E500" s="220"/>
    </row>
    <row r="501" spans="1:5">
      <c r="A501" s="174"/>
      <c r="B501" s="220"/>
      <c r="C501" s="220"/>
      <c r="D501" s="220"/>
      <c r="E501" s="220"/>
    </row>
    <row r="502" spans="1:5">
      <c r="A502" s="174"/>
      <c r="B502" s="220"/>
      <c r="C502" s="220"/>
      <c r="D502" s="220"/>
      <c r="E502" s="220"/>
    </row>
    <row r="503" spans="1:5">
      <c r="A503" s="174"/>
      <c r="B503" s="220"/>
      <c r="C503" s="220"/>
      <c r="D503" s="220"/>
      <c r="E503" s="220"/>
    </row>
    <row r="504" spans="1:5">
      <c r="A504" s="174"/>
      <c r="B504" s="220"/>
      <c r="C504" s="220"/>
      <c r="D504" s="220"/>
      <c r="E504" s="220"/>
    </row>
    <row r="505" spans="1:5">
      <c r="A505" s="174"/>
      <c r="B505" s="220"/>
      <c r="C505" s="220"/>
      <c r="D505" s="220"/>
      <c r="E505" s="220"/>
    </row>
    <row r="506" spans="1:5">
      <c r="A506" s="174"/>
      <c r="B506" s="220"/>
      <c r="C506" s="220"/>
      <c r="D506" s="220"/>
      <c r="E506" s="220"/>
    </row>
    <row r="507" spans="1:5">
      <c r="A507" s="174"/>
      <c r="B507" s="220"/>
      <c r="C507" s="220"/>
      <c r="D507" s="220"/>
      <c r="E507" s="220"/>
    </row>
    <row r="508" spans="1:5">
      <c r="A508" s="174"/>
      <c r="B508" s="220"/>
      <c r="C508" s="220"/>
      <c r="D508" s="220"/>
      <c r="E508" s="220"/>
    </row>
    <row r="509" spans="1:5">
      <c r="A509" s="174"/>
      <c r="B509" s="220"/>
      <c r="C509" s="220"/>
      <c r="D509" s="220"/>
      <c r="E509" s="220"/>
    </row>
    <row r="510" spans="1:5">
      <c r="A510" s="174"/>
      <c r="B510" s="220"/>
      <c r="C510" s="220"/>
      <c r="D510" s="220"/>
      <c r="E510" s="220"/>
    </row>
    <row r="511" spans="1:5">
      <c r="A511" s="174"/>
      <c r="B511" s="220"/>
      <c r="C511" s="220"/>
      <c r="D511" s="220"/>
      <c r="E511" s="220"/>
    </row>
    <row r="512" spans="1:5">
      <c r="A512" s="174"/>
      <c r="B512" s="220"/>
      <c r="C512" s="220"/>
      <c r="D512" s="220"/>
      <c r="E512" s="220"/>
    </row>
    <row r="513" spans="1:5">
      <c r="A513" s="174"/>
      <c r="B513" s="220"/>
      <c r="C513" s="220"/>
      <c r="D513" s="220"/>
      <c r="E513" s="220"/>
    </row>
    <row r="514" spans="1:5">
      <c r="A514" s="174"/>
      <c r="B514" s="220"/>
      <c r="C514" s="220"/>
      <c r="D514" s="220"/>
      <c r="E514" s="220"/>
    </row>
    <row r="515" spans="1:5">
      <c r="A515" s="174"/>
      <c r="B515" s="220"/>
      <c r="C515" s="220"/>
      <c r="D515" s="220"/>
      <c r="E515" s="220"/>
    </row>
    <row r="516" spans="1:5">
      <c r="A516" s="174"/>
      <c r="B516" s="220"/>
      <c r="C516" s="220"/>
      <c r="D516" s="220"/>
      <c r="E516" s="220"/>
    </row>
    <row r="517" spans="1:5">
      <c r="A517" s="174"/>
      <c r="B517" s="220"/>
      <c r="C517" s="220"/>
      <c r="D517" s="220"/>
      <c r="E517" s="220"/>
    </row>
    <row r="518" spans="1:5">
      <c r="A518" s="174"/>
      <c r="B518" s="220"/>
      <c r="C518" s="220"/>
      <c r="D518" s="220"/>
      <c r="E518" s="220"/>
    </row>
    <row r="519" spans="1:5">
      <c r="A519" s="174"/>
      <c r="B519" s="220"/>
      <c r="C519" s="220"/>
      <c r="D519" s="220"/>
      <c r="E519" s="220"/>
    </row>
    <row r="520" spans="1:5">
      <c r="A520" s="174"/>
      <c r="B520" s="220"/>
      <c r="C520" s="220"/>
      <c r="D520" s="220"/>
      <c r="E520" s="220"/>
    </row>
    <row r="521" spans="1:5">
      <c r="A521" s="174"/>
      <c r="B521" s="220"/>
      <c r="C521" s="220"/>
      <c r="D521" s="220"/>
      <c r="E521" s="220"/>
    </row>
    <row r="522" spans="1:5">
      <c r="A522" s="174"/>
      <c r="B522" s="220"/>
      <c r="C522" s="220"/>
      <c r="D522" s="220"/>
      <c r="E522" s="220"/>
    </row>
    <row r="523" spans="1:5">
      <c r="A523" s="174"/>
      <c r="B523" s="220"/>
      <c r="C523" s="220"/>
      <c r="D523" s="220"/>
      <c r="E523" s="220"/>
    </row>
    <row r="524" spans="1:5">
      <c r="A524" s="174"/>
      <c r="B524" s="220"/>
      <c r="C524" s="220"/>
      <c r="D524" s="220"/>
      <c r="E524" s="220"/>
    </row>
    <row r="525" spans="1:5">
      <c r="A525" s="174"/>
      <c r="B525" s="220"/>
      <c r="C525" s="220"/>
      <c r="D525" s="220"/>
      <c r="E525" s="220"/>
    </row>
    <row r="526" spans="1:5">
      <c r="A526" s="174"/>
      <c r="B526" s="220"/>
      <c r="C526" s="220"/>
      <c r="D526" s="220"/>
      <c r="E526" s="220"/>
    </row>
    <row r="527" spans="1:5">
      <c r="A527" s="174"/>
      <c r="B527" s="220"/>
      <c r="C527" s="220"/>
      <c r="D527" s="220"/>
      <c r="E527" s="220"/>
    </row>
    <row r="528" spans="1:5">
      <c r="A528" s="174"/>
      <c r="B528" s="220"/>
      <c r="C528" s="220"/>
      <c r="D528" s="220"/>
      <c r="E528" s="220"/>
    </row>
    <row r="529" spans="1:5">
      <c r="A529" s="174"/>
      <c r="B529" s="220"/>
      <c r="C529" s="220"/>
      <c r="D529" s="220"/>
      <c r="E529" s="220"/>
    </row>
    <row r="530" spans="1:5">
      <c r="A530" s="174"/>
      <c r="B530" s="220"/>
      <c r="C530" s="220"/>
      <c r="D530" s="220"/>
      <c r="E530" s="220"/>
    </row>
    <row r="531" spans="1:5">
      <c r="A531" s="174"/>
      <c r="B531" s="220"/>
      <c r="C531" s="220"/>
      <c r="D531" s="220"/>
      <c r="E531" s="220"/>
    </row>
    <row r="532" spans="1:5">
      <c r="A532" s="174"/>
      <c r="B532" s="220"/>
      <c r="C532" s="220"/>
      <c r="D532" s="220"/>
      <c r="E532" s="220"/>
    </row>
    <row r="533" spans="1:5">
      <c r="A533" s="174"/>
      <c r="B533" s="220"/>
      <c r="C533" s="220"/>
      <c r="D533" s="220"/>
      <c r="E533" s="220"/>
    </row>
    <row r="534" spans="1:5">
      <c r="A534" s="174"/>
      <c r="B534" s="220"/>
      <c r="C534" s="220"/>
      <c r="D534" s="220"/>
      <c r="E534" s="220"/>
    </row>
    <row r="535" spans="1:5">
      <c r="A535" s="174"/>
      <c r="B535" s="220"/>
      <c r="C535" s="220"/>
      <c r="D535" s="220"/>
      <c r="E535" s="220"/>
    </row>
    <row r="536" spans="1:5">
      <c r="A536" s="174"/>
      <c r="B536" s="220"/>
      <c r="C536" s="220"/>
      <c r="D536" s="220"/>
      <c r="E536" s="220"/>
    </row>
    <row r="537" spans="1:5">
      <c r="A537" s="174"/>
      <c r="B537" s="220"/>
      <c r="C537" s="220"/>
      <c r="D537" s="220"/>
      <c r="E537" s="220"/>
    </row>
    <row r="538" spans="1:5">
      <c r="A538" s="174"/>
      <c r="B538" s="220"/>
      <c r="C538" s="220"/>
      <c r="D538" s="220"/>
      <c r="E538" s="220"/>
    </row>
    <row r="539" spans="1:5">
      <c r="A539" s="174"/>
      <c r="B539" s="220"/>
      <c r="C539" s="220"/>
      <c r="D539" s="220"/>
      <c r="E539" s="220"/>
    </row>
    <row r="540" spans="1:5">
      <c r="A540" s="174"/>
      <c r="B540" s="220"/>
      <c r="C540" s="220"/>
      <c r="D540" s="220"/>
      <c r="E540" s="220"/>
    </row>
    <row r="541" spans="1:5">
      <c r="A541" s="174"/>
      <c r="B541" s="220"/>
      <c r="C541" s="220"/>
      <c r="D541" s="220"/>
      <c r="E541" s="220"/>
    </row>
    <row r="542" spans="1:5">
      <c r="A542" s="174"/>
      <c r="B542" s="220"/>
      <c r="C542" s="220"/>
      <c r="D542" s="220"/>
      <c r="E542" s="220"/>
    </row>
    <row r="543" spans="1:5">
      <c r="A543" s="174"/>
      <c r="B543" s="220"/>
      <c r="C543" s="220"/>
      <c r="D543" s="220"/>
      <c r="E543" s="220"/>
    </row>
    <row r="544" spans="1:5">
      <c r="A544" s="174"/>
      <c r="B544" s="220"/>
      <c r="C544" s="220"/>
      <c r="D544" s="220"/>
      <c r="E544" s="220"/>
    </row>
    <row r="545" spans="1:5">
      <c r="A545" s="174"/>
      <c r="B545" s="220"/>
      <c r="C545" s="220"/>
      <c r="D545" s="220"/>
      <c r="E545" s="220"/>
    </row>
    <row r="546" spans="1:5">
      <c r="A546" s="174"/>
      <c r="B546" s="220"/>
      <c r="C546" s="220"/>
      <c r="D546" s="220"/>
      <c r="E546" s="220"/>
    </row>
    <row r="547" spans="1:5">
      <c r="A547" s="174"/>
      <c r="B547" s="220"/>
      <c r="C547" s="220"/>
      <c r="D547" s="220"/>
      <c r="E547" s="220"/>
    </row>
    <row r="548" spans="1:5">
      <c r="A548" s="174"/>
      <c r="B548" s="220"/>
      <c r="C548" s="220"/>
      <c r="D548" s="220"/>
      <c r="E548" s="220"/>
    </row>
    <row r="549" spans="1:5">
      <c r="A549" s="174"/>
      <c r="B549" s="220"/>
      <c r="C549" s="220"/>
      <c r="D549" s="220"/>
      <c r="E549" s="220"/>
    </row>
    <row r="550" spans="1:5">
      <c r="A550" s="174"/>
      <c r="B550" s="220"/>
      <c r="C550" s="220"/>
      <c r="D550" s="220"/>
      <c r="E550" s="220"/>
    </row>
    <row r="551" spans="1:5">
      <c r="A551" s="174"/>
      <c r="B551" s="220"/>
      <c r="C551" s="220"/>
      <c r="D551" s="220"/>
      <c r="E551" s="220"/>
    </row>
    <row r="552" spans="1:5">
      <c r="A552" s="174"/>
      <c r="B552" s="220"/>
      <c r="C552" s="220"/>
      <c r="D552" s="220"/>
      <c r="E552" s="220"/>
    </row>
    <row r="553" spans="1:5">
      <c r="A553" s="174"/>
      <c r="B553" s="220"/>
      <c r="C553" s="220"/>
      <c r="D553" s="220"/>
      <c r="E553" s="220"/>
    </row>
    <row r="554" spans="1:5">
      <c r="A554" s="174"/>
      <c r="B554" s="220"/>
      <c r="C554" s="220"/>
      <c r="D554" s="220"/>
      <c r="E554" s="220"/>
    </row>
    <row r="555" spans="1:5">
      <c r="A555" s="174"/>
      <c r="B555" s="220"/>
      <c r="C555" s="220"/>
      <c r="D555" s="220"/>
      <c r="E555" s="220"/>
    </row>
    <row r="556" spans="1:5">
      <c r="A556" s="174"/>
      <c r="B556" s="220"/>
      <c r="C556" s="220"/>
      <c r="D556" s="220"/>
      <c r="E556" s="220"/>
    </row>
    <row r="557" spans="1:5">
      <c r="A557" s="174"/>
      <c r="B557" s="220"/>
      <c r="C557" s="220"/>
      <c r="D557" s="220"/>
      <c r="E557" s="220"/>
    </row>
    <row r="558" spans="1:5">
      <c r="A558" s="174"/>
      <c r="B558" s="220"/>
      <c r="C558" s="220"/>
      <c r="D558" s="220"/>
      <c r="E558" s="220"/>
    </row>
    <row r="559" spans="1:5">
      <c r="A559" s="174"/>
      <c r="B559" s="220"/>
      <c r="C559" s="220"/>
      <c r="D559" s="220"/>
      <c r="E559" s="220"/>
    </row>
    <row r="560" spans="1:5">
      <c r="A560" s="174"/>
      <c r="B560" s="220"/>
      <c r="C560" s="220"/>
      <c r="D560" s="220"/>
      <c r="E560" s="220"/>
    </row>
    <row r="561" spans="1:5">
      <c r="A561" s="174"/>
      <c r="B561" s="220"/>
      <c r="C561" s="220"/>
      <c r="D561" s="220"/>
      <c r="E561" s="220"/>
    </row>
    <row r="562" spans="1:5">
      <c r="A562" s="174"/>
      <c r="B562" s="220"/>
      <c r="C562" s="220"/>
      <c r="D562" s="220"/>
      <c r="E562" s="220"/>
    </row>
    <row r="563" spans="1:5">
      <c r="A563" s="174"/>
      <c r="B563" s="220"/>
      <c r="C563" s="220"/>
      <c r="D563" s="220"/>
      <c r="E563" s="220"/>
    </row>
    <row r="564" spans="1:5">
      <c r="A564" s="174"/>
      <c r="B564" s="220"/>
      <c r="C564" s="220"/>
      <c r="D564" s="220"/>
      <c r="E564" s="220"/>
    </row>
    <row r="565" spans="1:5">
      <c r="A565" s="174"/>
      <c r="B565" s="220"/>
      <c r="C565" s="220"/>
      <c r="D565" s="220"/>
      <c r="E565" s="220"/>
    </row>
    <row r="566" spans="1:5">
      <c r="A566" s="174"/>
      <c r="B566" s="220"/>
      <c r="C566" s="220"/>
      <c r="D566" s="220"/>
      <c r="E566" s="220"/>
    </row>
    <row r="567" spans="1:5">
      <c r="A567" s="174"/>
      <c r="B567" s="220"/>
      <c r="C567" s="220"/>
      <c r="D567" s="220"/>
      <c r="E567" s="220"/>
    </row>
    <row r="568" spans="1:5">
      <c r="A568" s="174"/>
      <c r="B568" s="220"/>
      <c r="C568" s="220"/>
      <c r="D568" s="220"/>
      <c r="E568" s="220"/>
    </row>
    <row r="569" spans="1:5">
      <c r="A569" s="174"/>
      <c r="B569" s="220"/>
      <c r="C569" s="220"/>
      <c r="D569" s="220"/>
      <c r="E569" s="220"/>
    </row>
    <row r="570" spans="1:5">
      <c r="A570" s="174"/>
      <c r="B570" s="220"/>
      <c r="C570" s="220"/>
      <c r="D570" s="220"/>
      <c r="E570" s="220"/>
    </row>
    <row r="571" spans="1:5">
      <c r="A571" s="174"/>
      <c r="B571" s="220"/>
      <c r="C571" s="220"/>
      <c r="D571" s="220"/>
      <c r="E571" s="220"/>
    </row>
    <row r="572" spans="1:5">
      <c r="A572" s="174"/>
      <c r="B572" s="220"/>
      <c r="C572" s="220"/>
      <c r="D572" s="220"/>
      <c r="E572" s="220"/>
    </row>
    <row r="573" spans="1:5">
      <c r="A573" s="174"/>
      <c r="B573" s="220"/>
      <c r="C573" s="220"/>
      <c r="D573" s="220"/>
      <c r="E573" s="220"/>
    </row>
    <row r="574" spans="1:5">
      <c r="A574" s="174"/>
      <c r="B574" s="220"/>
      <c r="C574" s="220"/>
      <c r="D574" s="220"/>
      <c r="E574" s="220"/>
    </row>
    <row r="575" spans="1:5">
      <c r="A575" s="174"/>
      <c r="B575" s="220"/>
      <c r="C575" s="220"/>
      <c r="D575" s="220"/>
      <c r="E575" s="220"/>
    </row>
    <row r="576" spans="1:5">
      <c r="A576" s="174"/>
      <c r="B576" s="220"/>
      <c r="C576" s="220"/>
      <c r="D576" s="220"/>
      <c r="E576" s="220"/>
    </row>
    <row r="577" spans="1:5">
      <c r="A577" s="174"/>
      <c r="B577" s="220"/>
      <c r="C577" s="220"/>
      <c r="D577" s="220"/>
      <c r="E577" s="220"/>
    </row>
    <row r="578" spans="1:5">
      <c r="A578" s="174"/>
      <c r="B578" s="220"/>
      <c r="C578" s="220"/>
      <c r="D578" s="220"/>
      <c r="E578" s="220"/>
    </row>
    <row r="579" spans="1:5">
      <c r="A579" s="174"/>
      <c r="B579" s="220"/>
      <c r="C579" s="220"/>
      <c r="D579" s="220"/>
      <c r="E579" s="220"/>
    </row>
    <row r="580" spans="1:5">
      <c r="A580" s="174"/>
      <c r="B580" s="220"/>
      <c r="C580" s="220"/>
      <c r="D580" s="220"/>
      <c r="E580" s="220"/>
    </row>
    <row r="581" spans="1:5">
      <c r="A581" s="174"/>
      <c r="B581" s="220"/>
      <c r="C581" s="220"/>
      <c r="D581" s="220"/>
      <c r="E581" s="220"/>
    </row>
    <row r="582" spans="1:5">
      <c r="A582" s="174"/>
      <c r="B582" s="220"/>
      <c r="C582" s="220"/>
      <c r="D582" s="220"/>
      <c r="E582" s="220"/>
    </row>
    <row r="583" spans="1:5">
      <c r="A583" s="174"/>
      <c r="B583" s="220"/>
      <c r="C583" s="220"/>
      <c r="D583" s="220"/>
      <c r="E583" s="220"/>
    </row>
    <row r="584" spans="1:5">
      <c r="A584" s="174"/>
      <c r="B584" s="220"/>
      <c r="C584" s="220"/>
      <c r="D584" s="220"/>
      <c r="E584" s="220"/>
    </row>
    <row r="585" spans="1:5">
      <c r="A585" s="174"/>
      <c r="B585" s="220"/>
      <c r="C585" s="220"/>
      <c r="D585" s="220"/>
      <c r="E585" s="220"/>
    </row>
    <row r="586" spans="1:5">
      <c r="A586" s="174"/>
      <c r="B586" s="220"/>
      <c r="C586" s="220"/>
      <c r="D586" s="220"/>
      <c r="E586" s="220"/>
    </row>
    <row r="587" spans="1:5">
      <c r="A587" s="174"/>
      <c r="B587" s="220"/>
      <c r="C587" s="220"/>
      <c r="D587" s="220"/>
      <c r="E587" s="220"/>
    </row>
    <row r="588" spans="1:5">
      <c r="A588" s="174"/>
      <c r="B588" s="220"/>
      <c r="C588" s="220"/>
      <c r="D588" s="220"/>
      <c r="E588" s="220"/>
    </row>
    <row r="589" spans="1:5">
      <c r="A589" s="174"/>
      <c r="B589" s="220"/>
      <c r="C589" s="220"/>
      <c r="D589" s="220"/>
      <c r="E589" s="220"/>
    </row>
    <row r="590" spans="1:5">
      <c r="A590" s="174"/>
      <c r="B590" s="220"/>
      <c r="C590" s="220"/>
      <c r="D590" s="220"/>
      <c r="E590" s="220"/>
    </row>
    <row r="591" spans="1:5">
      <c r="A591" s="174"/>
      <c r="B591" s="220"/>
      <c r="C591" s="220"/>
      <c r="D591" s="220"/>
      <c r="E591" s="220"/>
    </row>
    <row r="592" spans="1:5">
      <c r="A592" s="174"/>
      <c r="B592" s="220"/>
      <c r="C592" s="220"/>
      <c r="D592" s="220"/>
      <c r="E592" s="220"/>
    </row>
    <row r="593" spans="1:5">
      <c r="A593" s="174"/>
      <c r="B593" s="220"/>
      <c r="C593" s="220"/>
      <c r="D593" s="220"/>
      <c r="E593" s="220"/>
    </row>
    <row r="594" spans="1:5">
      <c r="A594" s="174"/>
      <c r="B594" s="220"/>
      <c r="C594" s="220"/>
      <c r="D594" s="220"/>
      <c r="E594" s="220"/>
    </row>
    <row r="595" spans="1:5">
      <c r="A595" s="174"/>
      <c r="B595" s="220"/>
      <c r="C595" s="220"/>
      <c r="D595" s="220"/>
      <c r="E595" s="220"/>
    </row>
    <row r="596" spans="1:5">
      <c r="A596" s="174"/>
      <c r="B596" s="220"/>
      <c r="C596" s="220"/>
      <c r="D596" s="220"/>
      <c r="E596" s="220"/>
    </row>
    <row r="597" spans="1:5">
      <c r="A597" s="174"/>
      <c r="B597" s="220"/>
      <c r="C597" s="220"/>
      <c r="D597" s="220"/>
      <c r="E597" s="220"/>
    </row>
    <row r="598" spans="1:5">
      <c r="A598" s="174"/>
      <c r="B598" s="220"/>
      <c r="C598" s="220"/>
      <c r="D598" s="220"/>
      <c r="E598" s="220"/>
    </row>
    <row r="599" spans="1:5">
      <c r="A599" s="174"/>
      <c r="B599" s="220"/>
      <c r="C599" s="220"/>
      <c r="D599" s="220"/>
      <c r="E599" s="220"/>
    </row>
    <row r="600" spans="1:5">
      <c r="A600" s="174"/>
      <c r="B600" s="220"/>
      <c r="C600" s="220"/>
      <c r="D600" s="220"/>
      <c r="E600" s="220"/>
    </row>
    <row r="601" spans="1:5">
      <c r="A601" s="174"/>
      <c r="B601" s="220"/>
      <c r="C601" s="220"/>
      <c r="D601" s="220"/>
      <c r="E601" s="220"/>
    </row>
    <row r="602" spans="1:5">
      <c r="A602" s="174"/>
      <c r="B602" s="220"/>
      <c r="C602" s="220"/>
      <c r="D602" s="220"/>
      <c r="E602" s="220"/>
    </row>
    <row r="603" spans="1:5">
      <c r="A603" s="174"/>
      <c r="B603" s="220"/>
      <c r="C603" s="220"/>
      <c r="D603" s="220"/>
      <c r="E603" s="220"/>
    </row>
    <row r="604" spans="1:5">
      <c r="A604" s="174"/>
      <c r="B604" s="220"/>
      <c r="C604" s="220"/>
      <c r="D604" s="220"/>
      <c r="E604" s="220"/>
    </row>
    <row r="605" spans="1:5">
      <c r="A605" s="174"/>
      <c r="B605" s="220"/>
      <c r="C605" s="220"/>
      <c r="D605" s="220"/>
      <c r="E605" s="220"/>
    </row>
    <row r="606" spans="1:5">
      <c r="A606" s="174"/>
      <c r="B606" s="220"/>
      <c r="C606" s="220"/>
      <c r="D606" s="220"/>
      <c r="E606" s="220"/>
    </row>
    <row r="607" spans="1:5">
      <c r="A607" s="174"/>
      <c r="B607" s="220"/>
      <c r="C607" s="220"/>
      <c r="D607" s="220"/>
      <c r="E607" s="220"/>
    </row>
    <row r="608" spans="1:5">
      <c r="A608" s="174"/>
      <c r="B608" s="220"/>
      <c r="C608" s="220"/>
      <c r="D608" s="220"/>
      <c r="E608" s="220"/>
    </row>
    <row r="609" spans="1:5">
      <c r="A609" s="174"/>
      <c r="B609" s="220"/>
      <c r="C609" s="220"/>
      <c r="D609" s="220"/>
      <c r="E609" s="220"/>
    </row>
    <row r="610" spans="1:5">
      <c r="A610" s="174"/>
      <c r="B610" s="220"/>
      <c r="C610" s="220"/>
      <c r="D610" s="220"/>
      <c r="E610" s="220"/>
    </row>
    <row r="611" spans="1:5">
      <c r="A611" s="174"/>
    </row>
  </sheetData>
  <phoneticPr fontId="3" type="noConversion"/>
  <printOptions horizontalCentered="1"/>
  <pageMargins left="0.74803149606299213" right="0.19685039370078741" top="0.78740157480314965" bottom="1.1811023622047245" header="0.51181102362204722" footer="0.51181102362204722"/>
  <pageSetup paperSize="9" scale="97" orientation="portrait" r:id="rId1"/>
  <rowBreaks count="3" manualBreakCount="3">
    <brk id="101" max="16383" man="1"/>
    <brk id="173" max="16383" man="1"/>
    <brk id="1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0000"/>
  </sheetPr>
  <dimension ref="A1:P144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TableofContents!$D$19</f>
        <v>장단기차입금, 사채</v>
      </c>
      <c r="B2" s="449"/>
      <c r="C2" s="449"/>
      <c r="D2" s="449"/>
      <c r="E2" s="449"/>
      <c r="F2" s="449"/>
      <c r="G2" s="450"/>
      <c r="H2" s="1255" t="str">
        <f>"DIR - "&amp;TableofContents!$B$19</f>
        <v>DIR - BB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2026</v>
      </c>
      <c r="N16" s="247" t="s">
        <v>1866</v>
      </c>
    </row>
    <row r="17" spans="1:14" s="225" customFormat="1" ht="15.75" customHeight="1">
      <c r="A17" s="224"/>
      <c r="B17" s="224"/>
      <c r="C17" s="224"/>
      <c r="D17" s="224" t="s">
        <v>1911</v>
      </c>
      <c r="N17" s="247"/>
    </row>
    <row r="18" spans="1:14" s="225" customFormat="1" ht="15.75" customHeight="1">
      <c r="A18" s="224"/>
      <c r="B18" s="224"/>
      <c r="C18" s="224"/>
      <c r="N18" s="247"/>
    </row>
    <row r="19" spans="1:14" s="225" customFormat="1" ht="15.75" customHeight="1">
      <c r="A19" s="224"/>
      <c r="B19" s="224" t="s">
        <v>1069</v>
      </c>
      <c r="C19" s="224" t="s">
        <v>2027</v>
      </c>
      <c r="N19" s="247" t="s">
        <v>1912</v>
      </c>
    </row>
    <row r="20" spans="1:14" s="225" customFormat="1" ht="15.75" customHeight="1">
      <c r="D20" s="471" t="s">
        <v>1918</v>
      </c>
      <c r="E20" s="226"/>
      <c r="F20" s="226"/>
      <c r="G20" s="226"/>
      <c r="H20" s="226"/>
      <c r="I20" s="226"/>
      <c r="J20" s="226"/>
      <c r="K20" s="226"/>
      <c r="L20" s="226"/>
      <c r="M20" s="226"/>
      <c r="N20" s="493"/>
    </row>
    <row r="21" spans="1:14" s="225" customFormat="1" ht="15.75" customHeight="1">
      <c r="D21" s="471" t="s">
        <v>1919</v>
      </c>
      <c r="E21" s="226"/>
      <c r="F21" s="226"/>
      <c r="G21" s="226"/>
      <c r="H21" s="226"/>
      <c r="I21" s="226"/>
      <c r="J21" s="226"/>
      <c r="K21" s="226"/>
      <c r="L21" s="226"/>
      <c r="M21" s="226"/>
      <c r="N21" s="493"/>
    </row>
    <row r="22" spans="1:14" s="225" customFormat="1" ht="15.75" customHeight="1">
      <c r="D22" s="471" t="s">
        <v>1920</v>
      </c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D23" s="492" t="s">
        <v>1921</v>
      </c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D24" s="492" t="s">
        <v>1922</v>
      </c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B25" s="224"/>
      <c r="C25" s="224"/>
      <c r="D25" s="471" t="s">
        <v>1923</v>
      </c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A26" s="224"/>
      <c r="B26" s="224"/>
      <c r="C26" s="224"/>
      <c r="D26" s="224" t="s">
        <v>1924</v>
      </c>
      <c r="N26" s="247"/>
    </row>
    <row r="27" spans="1:14" s="225" customFormat="1" ht="15.75" customHeight="1">
      <c r="A27" s="224"/>
      <c r="B27" s="224"/>
      <c r="C27" s="224"/>
      <c r="D27" s="224" t="s">
        <v>1925</v>
      </c>
      <c r="N27" s="247"/>
    </row>
    <row r="28" spans="1:14" s="225" customFormat="1" ht="15.75" customHeight="1">
      <c r="A28" s="224"/>
      <c r="B28" s="224"/>
      <c r="C28" s="224"/>
      <c r="D28" s="472" t="s">
        <v>1926</v>
      </c>
      <c r="N28" s="247"/>
    </row>
    <row r="29" spans="1:14" s="225" customFormat="1" ht="15.75" customHeight="1">
      <c r="A29" s="224"/>
      <c r="B29" s="224"/>
      <c r="C29" s="224"/>
      <c r="D29" s="224"/>
      <c r="N29" s="247"/>
    </row>
    <row r="30" spans="1:14" s="225" customFormat="1" ht="15.75" customHeight="1">
      <c r="A30" s="224"/>
      <c r="B30" s="224" t="s">
        <v>1070</v>
      </c>
      <c r="C30" s="224" t="s">
        <v>1597</v>
      </c>
      <c r="D30" s="224"/>
      <c r="N30" s="247" t="s">
        <v>1913</v>
      </c>
    </row>
    <row r="31" spans="1:14" s="225" customFormat="1" ht="15.75" customHeight="1">
      <c r="A31" s="224"/>
      <c r="B31" s="224"/>
      <c r="C31" s="224"/>
      <c r="D31" s="472" t="s">
        <v>1927</v>
      </c>
      <c r="N31" s="247"/>
    </row>
    <row r="32" spans="1:14" s="225" customFormat="1" ht="15.75" customHeight="1">
      <c r="A32" s="224"/>
      <c r="B32" s="224"/>
      <c r="C32" s="224"/>
      <c r="D32" s="472" t="s">
        <v>1928</v>
      </c>
      <c r="N32" s="247"/>
    </row>
    <row r="33" spans="1:14" s="225" customFormat="1" ht="15.75" customHeight="1">
      <c r="A33" s="224"/>
      <c r="B33" s="224"/>
      <c r="C33" s="224"/>
      <c r="D33" s="472" t="s">
        <v>1914</v>
      </c>
      <c r="N33" s="247"/>
    </row>
    <row r="34" spans="1:14" s="225" customFormat="1" ht="15.75" customHeight="1">
      <c r="A34" s="224"/>
      <c r="B34" s="224"/>
      <c r="C34" s="224"/>
      <c r="D34" s="472" t="s">
        <v>1929</v>
      </c>
      <c r="N34" s="247"/>
    </row>
    <row r="35" spans="1:14" s="225" customFormat="1" ht="15.75" customHeight="1">
      <c r="A35" s="224"/>
      <c r="B35" s="224"/>
      <c r="C35" s="224"/>
      <c r="D35" s="472" t="s">
        <v>1930</v>
      </c>
      <c r="N35" s="247"/>
    </row>
    <row r="36" spans="1:14" s="225" customFormat="1" ht="15.75" customHeight="1">
      <c r="A36" s="224"/>
      <c r="B36" s="224"/>
      <c r="C36" s="224"/>
      <c r="D36" s="472" t="s">
        <v>1931</v>
      </c>
      <c r="N36" s="247"/>
    </row>
    <row r="37" spans="1:14" s="225" customFormat="1" ht="15.75" customHeight="1">
      <c r="A37" s="224"/>
      <c r="B37" s="224"/>
      <c r="C37" s="224"/>
      <c r="D37" s="472" t="s">
        <v>1932</v>
      </c>
      <c r="N37" s="247"/>
    </row>
    <row r="38" spans="1:14" s="225" customFormat="1" ht="15.75" customHeight="1">
      <c r="A38" s="224"/>
      <c r="B38" s="224"/>
      <c r="C38" s="224"/>
      <c r="D38" s="224"/>
      <c r="N38" s="247"/>
    </row>
    <row r="39" spans="1:14" s="225" customFormat="1" ht="15.75" customHeight="1">
      <c r="A39" s="224"/>
      <c r="B39" s="224" t="s">
        <v>1076</v>
      </c>
      <c r="C39" s="472" t="s">
        <v>1933</v>
      </c>
      <c r="D39" s="472"/>
      <c r="N39" s="247" t="s">
        <v>1469</v>
      </c>
    </row>
    <row r="40" spans="1:14" s="225" customFormat="1" ht="15.75" customHeight="1">
      <c r="A40" s="224"/>
      <c r="B40" s="224"/>
      <c r="C40" s="224"/>
      <c r="D40" s="472" t="s">
        <v>1934</v>
      </c>
      <c r="N40" s="247"/>
    </row>
    <row r="41" spans="1:14" s="225" customFormat="1" ht="15.75" customHeight="1">
      <c r="A41" s="224"/>
      <c r="B41" s="224"/>
      <c r="C41" s="224"/>
      <c r="D41" s="472" t="s">
        <v>1935</v>
      </c>
      <c r="N41" s="247"/>
    </row>
    <row r="42" spans="1:14" s="225" customFormat="1" ht="15.75" customHeight="1">
      <c r="A42" s="224"/>
      <c r="B42" s="224"/>
      <c r="C42" s="224"/>
      <c r="D42" s="472" t="s">
        <v>1936</v>
      </c>
      <c r="N42" s="247"/>
    </row>
    <row r="43" spans="1:14" s="225" customFormat="1" ht="15.75" customHeight="1">
      <c r="A43" s="224"/>
      <c r="B43" s="224"/>
      <c r="C43" s="224"/>
      <c r="D43" s="472" t="s">
        <v>1937</v>
      </c>
      <c r="N43" s="247"/>
    </row>
    <row r="44" spans="1:14" s="225" customFormat="1" ht="15.75" customHeight="1">
      <c r="A44" s="224"/>
      <c r="B44" s="224"/>
      <c r="C44" s="224"/>
      <c r="D44" s="472" t="s">
        <v>1938</v>
      </c>
      <c r="N44" s="247"/>
    </row>
    <row r="45" spans="1:14" s="225" customFormat="1" ht="15.75" customHeight="1">
      <c r="A45" s="224"/>
      <c r="B45" s="224"/>
      <c r="C45" s="224"/>
      <c r="D45" s="472" t="s">
        <v>1939</v>
      </c>
      <c r="N45" s="247"/>
    </row>
    <row r="46" spans="1:14" s="225" customFormat="1" ht="15.75" customHeight="1">
      <c r="A46" s="224"/>
      <c r="B46" s="224"/>
      <c r="C46" s="224"/>
      <c r="D46" s="472" t="s">
        <v>1940</v>
      </c>
      <c r="N46" s="247"/>
    </row>
    <row r="47" spans="1:14" s="225" customFormat="1" ht="15.75" customHeight="1">
      <c r="A47" s="224"/>
      <c r="B47" s="224"/>
      <c r="C47" s="224"/>
      <c r="D47" s="472" t="s">
        <v>1941</v>
      </c>
      <c r="N47" s="247"/>
    </row>
    <row r="48" spans="1:14" s="225" customFormat="1" ht="15.75" customHeight="1">
      <c r="D48" s="224" t="s">
        <v>1942</v>
      </c>
      <c r="N48" s="247"/>
    </row>
    <row r="49" spans="2:14" s="225" customFormat="1" ht="15.75" customHeight="1">
      <c r="B49" s="253"/>
      <c r="C49" s="224"/>
      <c r="D49" s="224" t="s">
        <v>1943</v>
      </c>
      <c r="N49" s="247"/>
    </row>
    <row r="50" spans="2:14" s="225" customFormat="1" ht="15.75" customHeight="1">
      <c r="D50" s="472" t="s">
        <v>1944</v>
      </c>
      <c r="N50" s="247"/>
    </row>
    <row r="51" spans="2:14" s="225" customFormat="1" ht="15.75" customHeight="1">
      <c r="D51" s="472"/>
      <c r="N51" s="247"/>
    </row>
    <row r="52" spans="2:14" s="225" customFormat="1" ht="15.75" customHeight="1">
      <c r="B52" s="224" t="s">
        <v>1945</v>
      </c>
      <c r="C52" s="472" t="s">
        <v>1946</v>
      </c>
      <c r="D52" s="472"/>
      <c r="N52" s="247" t="s">
        <v>1915</v>
      </c>
    </row>
    <row r="53" spans="2:14" s="225" customFormat="1" ht="15.75" customHeight="1">
      <c r="C53" s="224" t="s">
        <v>1947</v>
      </c>
      <c r="D53" s="472"/>
      <c r="N53" s="247"/>
    </row>
    <row r="54" spans="2:14" s="225" customFormat="1" ht="15.75" customHeight="1">
      <c r="C54" s="224"/>
      <c r="D54" s="472"/>
      <c r="N54" s="247"/>
    </row>
    <row r="55" spans="2:14" s="225" customFormat="1" ht="15.75" customHeight="1">
      <c r="B55" s="224" t="s">
        <v>1371</v>
      </c>
      <c r="C55" s="472" t="s">
        <v>1948</v>
      </c>
      <c r="D55" s="472"/>
      <c r="N55" s="247" t="s">
        <v>1312</v>
      </c>
    </row>
    <row r="56" spans="2:14" s="225" customFormat="1" ht="15.75" customHeight="1">
      <c r="D56" s="472" t="s">
        <v>1951</v>
      </c>
      <c r="N56" s="247"/>
    </row>
    <row r="57" spans="2:14" s="225" customFormat="1" ht="15.75" customHeight="1">
      <c r="D57" s="472" t="s">
        <v>1952</v>
      </c>
      <c r="N57" s="247"/>
    </row>
    <row r="58" spans="2:14" s="225" customFormat="1" ht="15.75" customHeight="1">
      <c r="D58" s="472" t="s">
        <v>1949</v>
      </c>
      <c r="N58" s="247"/>
    </row>
    <row r="59" spans="2:14" s="225" customFormat="1" ht="15.75" customHeight="1">
      <c r="D59" s="472" t="s">
        <v>1950</v>
      </c>
      <c r="N59" s="247"/>
    </row>
    <row r="60" spans="2:14" s="225" customFormat="1" ht="15.75" customHeight="1">
      <c r="D60" s="472" t="s">
        <v>1953</v>
      </c>
      <c r="N60" s="247"/>
    </row>
    <row r="61" spans="2:14" s="225" customFormat="1" ht="15.75" customHeight="1">
      <c r="D61" s="472"/>
      <c r="N61" s="247"/>
    </row>
    <row r="62" spans="2:14" s="225" customFormat="1" ht="15.75" customHeight="1">
      <c r="B62" s="224" t="s">
        <v>1375</v>
      </c>
      <c r="C62" s="472" t="s">
        <v>1954</v>
      </c>
      <c r="N62" s="247" t="s">
        <v>1314</v>
      </c>
    </row>
    <row r="63" spans="2:14" s="225" customFormat="1" ht="15.75" customHeight="1">
      <c r="D63" s="472"/>
      <c r="N63" s="247"/>
    </row>
    <row r="64" spans="2:14" s="225" customFormat="1" ht="15.75" customHeight="1">
      <c r="B64" s="224" t="s">
        <v>1376</v>
      </c>
      <c r="C64" s="472" t="s">
        <v>1955</v>
      </c>
      <c r="N64" s="247" t="s">
        <v>1313</v>
      </c>
    </row>
    <row r="65" spans="2:14" s="225" customFormat="1" ht="15.75" customHeight="1">
      <c r="D65" s="472" t="s">
        <v>1956</v>
      </c>
      <c r="N65" s="247"/>
    </row>
    <row r="66" spans="2:14" s="225" customFormat="1" ht="15.75" customHeight="1">
      <c r="D66" s="472" t="s">
        <v>1957</v>
      </c>
      <c r="N66" s="247"/>
    </row>
    <row r="67" spans="2:14" s="225" customFormat="1" ht="15.75" customHeight="1">
      <c r="D67" s="472"/>
      <c r="N67" s="247"/>
    </row>
    <row r="68" spans="2:14" s="225" customFormat="1" ht="15.75" customHeight="1">
      <c r="B68" s="224" t="s">
        <v>1379</v>
      </c>
      <c r="C68" s="472" t="s">
        <v>1958</v>
      </c>
      <c r="N68" s="247" t="s">
        <v>1916</v>
      </c>
    </row>
    <row r="69" spans="2:14" s="225" customFormat="1" ht="15.75" customHeight="1">
      <c r="D69" s="472" t="s">
        <v>1959</v>
      </c>
      <c r="N69" s="247"/>
    </row>
    <row r="70" spans="2:14" s="225" customFormat="1" ht="15.75" customHeight="1">
      <c r="D70" s="472" t="s">
        <v>1960</v>
      </c>
      <c r="N70" s="247"/>
    </row>
    <row r="71" spans="2:14" s="225" customFormat="1" ht="15.75" customHeight="1">
      <c r="B71" s="224"/>
      <c r="C71" s="224"/>
      <c r="D71" s="472" t="s">
        <v>1961</v>
      </c>
      <c r="N71" s="247"/>
    </row>
    <row r="72" spans="2:14" s="225" customFormat="1" ht="15.75" customHeight="1">
      <c r="B72" s="224"/>
      <c r="C72" s="224"/>
      <c r="D72" s="472" t="s">
        <v>1962</v>
      </c>
      <c r="N72" s="247"/>
    </row>
    <row r="73" spans="2:14" s="225" customFormat="1" ht="15.75" customHeight="1">
      <c r="B73" s="224"/>
      <c r="C73" s="224"/>
      <c r="D73" s="472" t="s">
        <v>1963</v>
      </c>
      <c r="N73" s="247"/>
    </row>
    <row r="74" spans="2:14" s="225" customFormat="1" ht="15.75" customHeight="1">
      <c r="B74" s="224"/>
      <c r="C74" s="224"/>
      <c r="D74" s="472" t="s">
        <v>1964</v>
      </c>
      <c r="N74" s="247"/>
    </row>
    <row r="75" spans="2:14" s="225" customFormat="1" ht="15.75" customHeight="1">
      <c r="D75" s="472" t="s">
        <v>1965</v>
      </c>
      <c r="N75" s="247"/>
    </row>
    <row r="76" spans="2:14" s="225" customFormat="1" ht="15.75" customHeight="1">
      <c r="C76" s="224"/>
      <c r="D76" s="472" t="s">
        <v>1966</v>
      </c>
      <c r="N76" s="247"/>
    </row>
    <row r="77" spans="2:14" s="225" customFormat="1" ht="15.75" customHeight="1">
      <c r="C77" s="224"/>
      <c r="D77" s="472"/>
      <c r="N77" s="247"/>
    </row>
    <row r="78" spans="2:14" s="225" customFormat="1" ht="15.75" customHeight="1">
      <c r="B78" s="224" t="s">
        <v>1968</v>
      </c>
      <c r="C78" s="472" t="s">
        <v>1967</v>
      </c>
      <c r="N78" s="247" t="s">
        <v>1313</v>
      </c>
    </row>
    <row r="79" spans="2:14" s="225" customFormat="1" ht="15.75" customHeight="1">
      <c r="B79" s="224"/>
      <c r="C79" s="224"/>
      <c r="D79" s="224"/>
      <c r="N79" s="247"/>
    </row>
    <row r="80" spans="2:14" s="225" customFormat="1" ht="15.75" customHeight="1">
      <c r="B80" s="224" t="s">
        <v>1831</v>
      </c>
      <c r="C80" s="472" t="s">
        <v>1969</v>
      </c>
      <c r="N80" s="247" t="s">
        <v>1310</v>
      </c>
    </row>
    <row r="81" spans="2:14" s="225" customFormat="1" ht="15.75" customHeight="1">
      <c r="D81" s="472" t="s">
        <v>1917</v>
      </c>
      <c r="N81" s="247"/>
    </row>
    <row r="82" spans="2:14" s="225" customFormat="1" ht="15.75" customHeight="1">
      <c r="D82" s="472"/>
      <c r="N82" s="247"/>
    </row>
    <row r="83" spans="2:14" s="225" customFormat="1" ht="15.75" customHeight="1">
      <c r="B83" s="224" t="s">
        <v>1970</v>
      </c>
      <c r="C83" s="224" t="s">
        <v>1972</v>
      </c>
      <c r="N83" s="247" t="s">
        <v>1311</v>
      </c>
    </row>
    <row r="84" spans="2:14" s="225" customFormat="1" ht="15.75" customHeight="1">
      <c r="B84" s="224"/>
      <c r="C84" s="224"/>
      <c r="D84" s="472" t="s">
        <v>1971</v>
      </c>
      <c r="N84" s="247"/>
    </row>
    <row r="85" spans="2:14" s="225" customFormat="1" ht="15.75" customHeight="1">
      <c r="D85" s="472" t="s">
        <v>1973</v>
      </c>
      <c r="N85" s="247"/>
    </row>
    <row r="86" spans="2:14" s="225" customFormat="1" ht="15.75" customHeight="1">
      <c r="D86" s="472" t="s">
        <v>1974</v>
      </c>
      <c r="N86" s="247"/>
    </row>
    <row r="87" spans="2:14" s="225" customFormat="1" ht="15.75" customHeight="1">
      <c r="D87" s="472" t="s">
        <v>1975</v>
      </c>
      <c r="N87" s="247"/>
    </row>
    <row r="88" spans="2:14" s="225" customFormat="1" ht="15.75" customHeight="1">
      <c r="B88" s="224"/>
      <c r="C88" s="224"/>
      <c r="D88" s="224" t="s">
        <v>1976</v>
      </c>
      <c r="N88" s="247"/>
    </row>
    <row r="89" spans="2:14" s="225" customFormat="1" ht="15.75" customHeight="1">
      <c r="D89" s="472" t="s">
        <v>1977</v>
      </c>
      <c r="N89" s="247"/>
    </row>
    <row r="90" spans="2:14" s="225" customFormat="1" ht="15.75" customHeight="1">
      <c r="D90" s="224" t="s">
        <v>1978</v>
      </c>
      <c r="N90" s="247"/>
    </row>
    <row r="91" spans="2:14" s="225" customFormat="1" ht="15.75" customHeight="1">
      <c r="B91" s="224"/>
      <c r="C91" s="224"/>
      <c r="D91" s="472" t="s">
        <v>1979</v>
      </c>
      <c r="N91" s="247"/>
    </row>
    <row r="92" spans="2:14" s="225" customFormat="1" ht="15.75" customHeight="1">
      <c r="C92" s="224"/>
      <c r="D92" s="472" t="s">
        <v>1980</v>
      </c>
      <c r="N92" s="247"/>
    </row>
    <row r="93" spans="2:14" s="225" customFormat="1" ht="15.75" customHeight="1">
      <c r="B93" s="224"/>
      <c r="C93" s="224"/>
      <c r="D93" s="224"/>
      <c r="N93" s="247"/>
    </row>
    <row r="94" spans="2:14" s="225" customFormat="1" ht="15.75" customHeight="1">
      <c r="B94" s="224" t="s">
        <v>1981</v>
      </c>
      <c r="C94" s="224" t="s">
        <v>1982</v>
      </c>
      <c r="N94" s="247" t="s">
        <v>1314</v>
      </c>
    </row>
    <row r="95" spans="2:14" s="225" customFormat="1" ht="15.75" customHeight="1">
      <c r="C95" s="224" t="s">
        <v>1983</v>
      </c>
      <c r="D95" s="224"/>
      <c r="N95" s="247"/>
    </row>
    <row r="96" spans="2:14" s="225" customFormat="1" ht="15.75" customHeight="1">
      <c r="C96" s="224"/>
      <c r="D96" s="224"/>
      <c r="N96" s="247"/>
    </row>
    <row r="97" spans="2:14" s="225" customFormat="1" ht="15.75" customHeight="1">
      <c r="B97" s="224" t="s">
        <v>1984</v>
      </c>
      <c r="C97" s="224" t="s">
        <v>1985</v>
      </c>
      <c r="D97" s="224"/>
      <c r="N97" s="247" t="s">
        <v>1311</v>
      </c>
    </row>
    <row r="98" spans="2:14" s="225" customFormat="1" ht="15.75" customHeight="1">
      <c r="C98" s="224"/>
      <c r="D98" s="472" t="s">
        <v>1989</v>
      </c>
      <c r="N98" s="247"/>
    </row>
    <row r="99" spans="2:14" s="225" customFormat="1" ht="15.75" customHeight="1">
      <c r="C99" s="224"/>
      <c r="D99" s="472" t="s">
        <v>1990</v>
      </c>
      <c r="N99" s="247"/>
    </row>
    <row r="100" spans="2:14" s="225" customFormat="1" ht="15.75" customHeight="1">
      <c r="C100" s="224"/>
      <c r="D100" s="472" t="s">
        <v>1991</v>
      </c>
      <c r="N100" s="247"/>
    </row>
    <row r="101" spans="2:14" s="225" customFormat="1" ht="15.75" customHeight="1">
      <c r="B101" s="224"/>
      <c r="C101" s="224"/>
      <c r="D101" s="472" t="s">
        <v>1992</v>
      </c>
      <c r="N101" s="247"/>
    </row>
    <row r="102" spans="2:14" s="225" customFormat="1" ht="15.75" customHeight="1">
      <c r="D102" s="472" t="s">
        <v>1993</v>
      </c>
      <c r="N102" s="247"/>
    </row>
    <row r="103" spans="2:14" s="225" customFormat="1" ht="15.75" customHeight="1">
      <c r="D103" s="472" t="s">
        <v>1994</v>
      </c>
      <c r="N103" s="247"/>
    </row>
    <row r="104" spans="2:14" s="225" customFormat="1" ht="15.75" customHeight="1">
      <c r="D104" s="472" t="s">
        <v>1995</v>
      </c>
      <c r="N104" s="247"/>
    </row>
    <row r="105" spans="2:14" s="225" customFormat="1" ht="15.75" customHeight="1">
      <c r="D105" s="472" t="s">
        <v>1996</v>
      </c>
      <c r="N105" s="247"/>
    </row>
    <row r="106" spans="2:14" s="225" customFormat="1" ht="15.75" customHeight="1">
      <c r="B106" s="224"/>
      <c r="C106" s="224"/>
      <c r="D106" s="472" t="s">
        <v>1997</v>
      </c>
      <c r="N106" s="247"/>
    </row>
    <row r="107" spans="2:14" s="225" customFormat="1" ht="15.75" customHeight="1">
      <c r="D107" s="472" t="s">
        <v>1998</v>
      </c>
      <c r="N107" s="247"/>
    </row>
    <row r="108" spans="2:14" s="225" customFormat="1" ht="15.75" customHeight="1">
      <c r="D108" s="472" t="s">
        <v>1986</v>
      </c>
      <c r="N108" s="247"/>
    </row>
    <row r="109" spans="2:14" s="225" customFormat="1" ht="15.75" customHeight="1">
      <c r="D109" s="472" t="s">
        <v>1987</v>
      </c>
      <c r="N109" s="247"/>
    </row>
    <row r="110" spans="2:14" s="225" customFormat="1" ht="15.75" customHeight="1">
      <c r="D110" s="472" t="s">
        <v>1988</v>
      </c>
      <c r="N110" s="247"/>
    </row>
    <row r="111" spans="2:14" s="225" customFormat="1" ht="15.75" customHeight="1">
      <c r="C111" s="224"/>
      <c r="D111" s="472"/>
      <c r="N111" s="247"/>
    </row>
    <row r="112" spans="2:14" s="225" customFormat="1" ht="15.75" customHeight="1">
      <c r="B112" s="224" t="s">
        <v>1999</v>
      </c>
      <c r="C112" s="472" t="s">
        <v>1391</v>
      </c>
      <c r="N112" s="247"/>
    </row>
    <row r="113" spans="1:14" s="225" customFormat="1" ht="15.75" customHeight="1">
      <c r="C113" s="224"/>
      <c r="D113" s="472"/>
    </row>
    <row r="114" spans="1:14" s="225" customFormat="1" ht="15.75" customHeight="1">
      <c r="D114" s="472"/>
    </row>
    <row r="115" spans="1:14" s="229" customFormat="1" ht="15.75" customHeight="1">
      <c r="A115" s="253"/>
      <c r="B115" s="253"/>
      <c r="C115" s="224"/>
      <c r="D115" s="224"/>
      <c r="E115" s="225"/>
      <c r="F115" s="225"/>
      <c r="G115" s="225"/>
      <c r="H115" s="225"/>
      <c r="I115" s="225"/>
      <c r="J115" s="225"/>
      <c r="K115" s="225"/>
      <c r="L115" s="225"/>
    </row>
    <row r="116" spans="1:14" s="225" customFormat="1" ht="15.75" customHeight="1">
      <c r="A116" s="264"/>
      <c r="B116" s="224"/>
      <c r="C116" s="224"/>
      <c r="D116" s="224"/>
    </row>
    <row r="117" spans="1:14" s="225" customFormat="1" ht="15.75" customHeight="1">
      <c r="A117" s="264"/>
      <c r="B117" s="264"/>
    </row>
    <row r="118" spans="1:14" s="225" customFormat="1" ht="15.75" customHeight="1">
      <c r="A118" s="264"/>
      <c r="B118" s="264"/>
      <c r="C118" s="224"/>
      <c r="D118" s="224"/>
    </row>
    <row r="119" spans="1:14" s="225" customFormat="1" ht="15.75" customHeight="1">
      <c r="A119" s="264"/>
      <c r="B119" s="264"/>
      <c r="D119" s="224"/>
    </row>
    <row r="120" spans="1:14" s="225" customFormat="1" ht="15.75" customHeight="1">
      <c r="A120" s="264"/>
      <c r="B120" s="264"/>
    </row>
    <row r="121" spans="1:14" s="225" customFormat="1" ht="15.75" customHeight="1">
      <c r="A121" s="264"/>
      <c r="B121" s="264"/>
      <c r="C121" s="224"/>
      <c r="D121" s="224"/>
    </row>
    <row r="122" spans="1:14" s="225" customFormat="1" ht="15.75" customHeight="1">
      <c r="A122" s="264"/>
      <c r="B122" s="264"/>
    </row>
    <row r="123" spans="1:14" s="225" customFormat="1" ht="15.75" customHeight="1">
      <c r="A123" s="264"/>
      <c r="B123" s="264"/>
      <c r="C123" s="224"/>
      <c r="D123" s="224"/>
    </row>
    <row r="124" spans="1:14" s="225" customFormat="1" ht="15.75" customHeight="1">
      <c r="A124" s="264"/>
      <c r="B124" s="264"/>
    </row>
    <row r="125" spans="1:14" s="225" customFormat="1" ht="15.75" customHeight="1">
      <c r="A125" s="264"/>
      <c r="B125" s="253"/>
      <c r="N125" s="247"/>
    </row>
    <row r="126" spans="1:14" s="225" customFormat="1" ht="15.75" customHeight="1">
      <c r="A126" s="264"/>
      <c r="B126" s="264"/>
    </row>
    <row r="127" spans="1:14" s="225" customFormat="1" ht="15.75" customHeight="1">
      <c r="A127" s="264"/>
      <c r="B127" s="253"/>
      <c r="C127" s="224"/>
      <c r="N127" s="247"/>
    </row>
    <row r="128" spans="1:14" s="225" customFormat="1" ht="15.75" customHeight="1">
      <c r="A128" s="264"/>
      <c r="B128" s="264"/>
    </row>
    <row r="129" spans="1:14" s="225" customFormat="1" ht="15.75" customHeight="1">
      <c r="A129" s="264"/>
      <c r="B129" s="253"/>
      <c r="C129" s="224"/>
      <c r="N129" s="247"/>
    </row>
    <row r="130" spans="1:14" s="225" customFormat="1" ht="15.75" customHeight="1">
      <c r="A130" s="264"/>
      <c r="B130" s="264"/>
      <c r="D130" s="224"/>
    </row>
    <row r="131" spans="1:14" s="225" customFormat="1" ht="15.75" customHeight="1">
      <c r="A131" s="264"/>
      <c r="B131" s="264"/>
      <c r="D131" s="224"/>
    </row>
    <row r="132" spans="1:14" s="225" customFormat="1" ht="15.75" customHeight="1">
      <c r="A132" s="264"/>
      <c r="B132" s="264"/>
    </row>
    <row r="133" spans="1:14" s="225" customFormat="1" ht="15.75" customHeight="1">
      <c r="A133" s="264"/>
      <c r="B133" s="253"/>
      <c r="C133" s="224"/>
      <c r="N133" s="247"/>
    </row>
    <row r="134" spans="1:14" s="225" customFormat="1" ht="15.75" customHeight="1">
      <c r="A134" s="264"/>
      <c r="B134" s="264"/>
    </row>
    <row r="135" spans="1:14" s="225" customFormat="1" ht="15.75" customHeight="1">
      <c r="B135" s="224"/>
      <c r="C135" s="224"/>
      <c r="N135" s="247"/>
    </row>
    <row r="136" spans="1:14" s="225" customFormat="1" ht="15.75" customHeight="1"/>
    <row r="137" spans="1:14" s="225" customFormat="1" ht="15.75" customHeight="1">
      <c r="B137" s="224"/>
      <c r="C137" s="224"/>
      <c r="N137" s="247"/>
    </row>
    <row r="138" spans="1:14" s="225" customFormat="1" ht="15.75" customHeight="1"/>
    <row r="139" spans="1:14" s="225" customFormat="1" ht="15.75" customHeight="1">
      <c r="B139" s="224"/>
      <c r="C139" s="227"/>
      <c r="N139" s="252"/>
    </row>
    <row r="140" spans="1:14" s="225" customFormat="1" ht="15.75" customHeight="1">
      <c r="D140" s="223"/>
    </row>
    <row r="141" spans="1:14" s="225" customFormat="1" ht="15.75" customHeight="1">
      <c r="D141" s="223"/>
    </row>
    <row r="142" spans="1:14" s="225" customFormat="1" ht="15.75" customHeight="1">
      <c r="D142" s="223"/>
    </row>
    <row r="143" spans="1:14" s="225" customFormat="1" ht="15.75" customHeight="1"/>
    <row r="144" spans="1:14" s="225" customFormat="1" ht="15.75" customHeight="1">
      <c r="B144" s="224"/>
      <c r="C144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30">
    <tabColor rgb="FF00B050"/>
  </sheetPr>
  <dimension ref="A1:K64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1" t="str">
        <f>TableofContents!$D$19</f>
        <v>장단기차입금, 사채</v>
      </c>
      <c r="B2" s="372"/>
      <c r="C2" s="372"/>
      <c r="D2" s="372"/>
      <c r="E2" s="372"/>
      <c r="F2" s="1274" t="str">
        <f>TableofContents!$B$19</f>
        <v>BB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e">
        <f>FS_worksheet!C84</f>
        <v>#REF!</v>
      </c>
      <c r="C7" s="230"/>
      <c r="D7" s="230" t="e">
        <f>VLOOKUP($B7,FS_worksheet!$C$11:$H$116,3,FALSE)</f>
        <v>#REF!</v>
      </c>
      <c r="E7" s="230"/>
      <c r="F7" s="230" t="e">
        <f>H7+J7-D7</f>
        <v>#REF!</v>
      </c>
      <c r="G7" s="232"/>
      <c r="H7" s="230"/>
      <c r="I7" s="230"/>
      <c r="J7" s="230" t="e">
        <f>VLOOKUP($B7,FS_worksheet!$C$11:$H$116,5,FALSE)</f>
        <v>#REF!</v>
      </c>
    </row>
    <row r="8" spans="1:11" s="233" customFormat="1" ht="15.75" customHeight="1">
      <c r="B8" s="234" t="e">
        <f>FS_worksheet!C87</f>
        <v>#REF!</v>
      </c>
      <c r="D8" s="233" t="e">
        <f>VLOOKUP($B8,FS_worksheet!$C$11:$H$116,3,FALSE)</f>
        <v>#REF!</v>
      </c>
      <c r="F8" s="233" t="e">
        <f>H8+J8-D8</f>
        <v>#REF!</v>
      </c>
      <c r="G8" s="235"/>
      <c r="J8" s="233" t="e">
        <f>VLOOKUP($B8,FS_worksheet!$C$11:$H$116,5,FALSE)</f>
        <v>#REF!</v>
      </c>
    </row>
    <row r="9" spans="1:11" ht="15.75" customHeight="1">
      <c r="A9" s="230"/>
      <c r="B9" s="231" t="str">
        <f>FS_worksheet!C90</f>
        <v xml:space="preserve">      사업위탁금</v>
      </c>
      <c r="C9" s="230"/>
      <c r="D9" s="230">
        <f>VLOOKUP($B9,FS_worksheet!$C$11:$H$116,3,FALSE)</f>
        <v>445008127</v>
      </c>
      <c r="E9" s="230"/>
      <c r="F9" s="230">
        <f>H9+J9-D9</f>
        <v>111752130</v>
      </c>
      <c r="G9" s="232"/>
      <c r="H9" s="230"/>
      <c r="I9" s="230"/>
      <c r="J9" s="230">
        <f>VLOOKUP($B9,FS_worksheet!$C$11:$H$116,5,FALSE)</f>
        <v>556760257</v>
      </c>
      <c r="K9" s="233"/>
    </row>
    <row r="10" spans="1:11" ht="15.75" customHeight="1">
      <c r="A10" s="233"/>
      <c r="B10" s="234">
        <f>FS_worksheet!C89</f>
        <v>0</v>
      </c>
      <c r="C10" s="233"/>
      <c r="D10" s="233" t="e">
        <f>VLOOKUP($B10,FS_worksheet!$C$11:$H$116,3,FALSE)</f>
        <v>#N/A</v>
      </c>
      <c r="E10" s="233"/>
      <c r="F10" s="233" t="e">
        <f>H10+J10-D10</f>
        <v>#N/A</v>
      </c>
      <c r="G10" s="235"/>
      <c r="H10" s="233"/>
      <c r="I10" s="233"/>
      <c r="J10" s="233" t="e">
        <f>VLOOKUP($B10,FS_worksheet!$C$11:$H$116,5,FALSE)</f>
        <v>#N/A</v>
      </c>
      <c r="K10" s="233"/>
    </row>
    <row r="11" spans="1:11" ht="15.75" customHeight="1">
      <c r="A11" s="233"/>
      <c r="B11" s="233"/>
      <c r="C11" s="233"/>
      <c r="D11" s="233"/>
      <c r="E11" s="233"/>
      <c r="F11" s="233"/>
      <c r="G11" s="235"/>
      <c r="H11" s="233"/>
      <c r="I11" s="233"/>
      <c r="J11" s="233"/>
      <c r="K11" s="233"/>
    </row>
    <row r="12" spans="1:11" ht="15.75" customHeight="1">
      <c r="F12" s="237"/>
      <c r="G12" s="225"/>
      <c r="H12" s="237"/>
      <c r="K12" s="233"/>
    </row>
    <row r="13" spans="1:11" ht="15.75" customHeight="1">
      <c r="A13" s="222" t="s">
        <v>244</v>
      </c>
    </row>
    <row r="14" spans="1:11" ht="15.75" customHeight="1">
      <c r="A14" s="245" t="s">
        <v>245</v>
      </c>
      <c r="B14" s="223" t="s">
        <v>864</v>
      </c>
    </row>
    <row r="15" spans="1:11" ht="15.75" customHeight="1">
      <c r="A15" s="252"/>
      <c r="B15" s="227" t="s">
        <v>865</v>
      </c>
    </row>
    <row r="16" spans="1:11" ht="15.75" customHeight="1">
      <c r="A16" s="252"/>
      <c r="B16" s="227" t="s">
        <v>866</v>
      </c>
    </row>
    <row r="17" spans="1:2" ht="15.75" customHeight="1">
      <c r="A17" s="252"/>
      <c r="B17" s="227" t="s">
        <v>867</v>
      </c>
    </row>
    <row r="18" spans="1:2" ht="15.75" customHeight="1">
      <c r="A18" s="252"/>
      <c r="B18" s="227" t="s">
        <v>790</v>
      </c>
    </row>
    <row r="19" spans="1:2" s="225" customFormat="1" ht="15.75" customHeight="1">
      <c r="A19" s="245" t="s">
        <v>34</v>
      </c>
      <c r="B19" s="223" t="s">
        <v>868</v>
      </c>
    </row>
    <row r="20" spans="1:2" ht="15.75" customHeight="1">
      <c r="A20" s="245" t="s">
        <v>35</v>
      </c>
      <c r="B20" s="223" t="s">
        <v>869</v>
      </c>
    </row>
    <row r="21" spans="1:2" ht="15.75" customHeight="1">
      <c r="A21" s="245" t="s">
        <v>36</v>
      </c>
      <c r="B21" s="223" t="s">
        <v>870</v>
      </c>
    </row>
    <row r="22" spans="1:2" ht="15.75" customHeight="1">
      <c r="A22" s="245" t="s">
        <v>39</v>
      </c>
      <c r="B22" s="223" t="s">
        <v>871</v>
      </c>
    </row>
    <row r="23" spans="1:2" ht="15.75" customHeight="1">
      <c r="A23" s="245" t="s">
        <v>43</v>
      </c>
      <c r="B23" s="223" t="s">
        <v>872</v>
      </c>
    </row>
    <row r="24" spans="1:2" ht="15.75" customHeight="1">
      <c r="A24" s="245" t="s">
        <v>44</v>
      </c>
      <c r="B24" s="223" t="s">
        <v>873</v>
      </c>
    </row>
    <row r="25" spans="1:2" ht="15.75" customHeight="1">
      <c r="A25" s="245" t="s">
        <v>45</v>
      </c>
      <c r="B25" s="223" t="s">
        <v>894</v>
      </c>
    </row>
    <row r="26" spans="1:2" ht="15.75" customHeight="1">
      <c r="A26" s="245" t="s">
        <v>46</v>
      </c>
      <c r="B26" s="223" t="s">
        <v>798</v>
      </c>
    </row>
    <row r="27" spans="1:2" ht="15.75" customHeight="1">
      <c r="A27" s="245" t="s">
        <v>41</v>
      </c>
      <c r="B27" s="223" t="s">
        <v>874</v>
      </c>
    </row>
    <row r="28" spans="1:2" ht="15.75" customHeight="1">
      <c r="A28" s="245" t="s">
        <v>53</v>
      </c>
      <c r="B28" s="223" t="s">
        <v>875</v>
      </c>
    </row>
    <row r="29" spans="1:2" ht="15.75" customHeight="1">
      <c r="A29" s="245" t="s">
        <v>54</v>
      </c>
      <c r="B29" s="227" t="s">
        <v>876</v>
      </c>
    </row>
    <row r="30" spans="1:2" ht="15.75" customHeight="1">
      <c r="A30" s="245" t="s">
        <v>55</v>
      </c>
      <c r="B30" s="227" t="s">
        <v>877</v>
      </c>
    </row>
    <row r="31" spans="1:2" ht="15.75" customHeight="1">
      <c r="A31" s="245" t="s">
        <v>56</v>
      </c>
      <c r="B31" s="227" t="s">
        <v>878</v>
      </c>
    </row>
    <row r="34" spans="1:2" ht="15.75" customHeight="1">
      <c r="A34" s="222" t="s">
        <v>246</v>
      </c>
    </row>
    <row r="35" spans="1:2" ht="15.75" customHeight="1">
      <c r="A35" s="246" t="s">
        <v>2</v>
      </c>
      <c r="B35" s="223" t="s">
        <v>879</v>
      </c>
    </row>
    <row r="36" spans="1:2" ht="15.75" customHeight="1">
      <c r="A36" s="246" t="s">
        <v>361</v>
      </c>
      <c r="B36" s="223" t="s">
        <v>880</v>
      </c>
    </row>
    <row r="37" spans="1:2" ht="15.75" customHeight="1">
      <c r="A37" s="246" t="s">
        <v>362</v>
      </c>
      <c r="B37" s="223" t="s">
        <v>881</v>
      </c>
    </row>
    <row r="38" spans="1:2" ht="15.75" customHeight="1">
      <c r="A38" s="246" t="s">
        <v>363</v>
      </c>
      <c r="B38" s="223" t="s">
        <v>882</v>
      </c>
    </row>
    <row r="39" spans="1:2" s="225" customFormat="1" ht="15.75" customHeight="1">
      <c r="A39" s="246" t="s">
        <v>251</v>
      </c>
      <c r="B39" s="223" t="s">
        <v>883</v>
      </c>
    </row>
    <row r="40" spans="1:2" s="225" customFormat="1" ht="15.75" customHeight="1">
      <c r="A40" s="246" t="s">
        <v>84</v>
      </c>
      <c r="B40" s="223" t="s">
        <v>884</v>
      </c>
    </row>
    <row r="41" spans="1:2" s="225" customFormat="1" ht="15.75" customHeight="1">
      <c r="A41" s="246"/>
      <c r="B41" s="223" t="s">
        <v>1009</v>
      </c>
    </row>
    <row r="42" spans="1:2" s="225" customFormat="1" ht="15.75" customHeight="1">
      <c r="A42" s="246"/>
      <c r="B42" s="223" t="s">
        <v>1010</v>
      </c>
    </row>
    <row r="43" spans="1:2" s="225" customFormat="1" ht="15.75" customHeight="1">
      <c r="A43" s="246"/>
      <c r="B43" s="223" t="s">
        <v>1011</v>
      </c>
    </row>
    <row r="44" spans="1:2" s="225" customFormat="1" ht="15.75" customHeight="1">
      <c r="A44" s="246" t="s">
        <v>85</v>
      </c>
      <c r="B44" s="223" t="s">
        <v>885</v>
      </c>
    </row>
    <row r="45" spans="1:2" ht="15.75" customHeight="1">
      <c r="A45" s="246" t="s">
        <v>86</v>
      </c>
      <c r="B45" s="223" t="s">
        <v>886</v>
      </c>
    </row>
    <row r="46" spans="1:2" ht="15.75" customHeight="1">
      <c r="A46" s="246" t="s">
        <v>87</v>
      </c>
      <c r="B46" s="223" t="s">
        <v>887</v>
      </c>
    </row>
    <row r="47" spans="1:2" ht="15.75" customHeight="1">
      <c r="A47" s="246"/>
      <c r="B47" s="223" t="s">
        <v>888</v>
      </c>
    </row>
    <row r="48" spans="1:2" ht="15.75" customHeight="1">
      <c r="A48" s="246"/>
      <c r="B48" s="223" t="s">
        <v>889</v>
      </c>
    </row>
    <row r="49" spans="1:6" ht="15.75" customHeight="1">
      <c r="A49" s="246"/>
      <c r="B49" s="227" t="s">
        <v>890</v>
      </c>
    </row>
    <row r="50" spans="1:6" ht="15.75" customHeight="1">
      <c r="A50" s="246"/>
      <c r="B50" s="223" t="s">
        <v>891</v>
      </c>
    </row>
    <row r="51" spans="1:6" ht="15.75" customHeight="1">
      <c r="A51" s="246"/>
      <c r="B51" s="223" t="s">
        <v>892</v>
      </c>
    </row>
    <row r="52" spans="1:6" ht="15.75" customHeight="1">
      <c r="A52" s="246" t="s">
        <v>88</v>
      </c>
      <c r="B52" s="223" t="s">
        <v>893</v>
      </c>
    </row>
    <row r="53" spans="1:6" ht="15.75" customHeight="1">
      <c r="A53" s="246"/>
    </row>
    <row r="54" spans="1:6" ht="15.75" customHeight="1">
      <c r="A54" s="713"/>
      <c r="B54" s="714" t="s">
        <v>2789</v>
      </c>
      <c r="C54" s="225"/>
    </row>
    <row r="55" spans="1:6" ht="15.75" customHeight="1">
      <c r="A55" s="715" t="s">
        <v>1470</v>
      </c>
      <c r="B55" s="713" t="s">
        <v>2793</v>
      </c>
      <c r="C55" s="225"/>
    </row>
    <row r="56" spans="1:6" ht="15.75" customHeight="1">
      <c r="A56" s="715"/>
      <c r="B56" s="713"/>
      <c r="C56" s="225"/>
    </row>
    <row r="57" spans="1:6" ht="15.75" customHeight="1">
      <c r="A57" s="715"/>
      <c r="B57" s="713"/>
      <c r="C57" s="225"/>
    </row>
    <row r="58" spans="1:6" ht="15.75" customHeight="1">
      <c r="A58" s="715"/>
      <c r="B58" s="713"/>
      <c r="C58" s="225"/>
    </row>
    <row r="59" spans="1:6" ht="15.75" customHeight="1">
      <c r="A59" s="228" t="s">
        <v>248</v>
      </c>
      <c r="B59" s="225"/>
      <c r="C59" s="225"/>
      <c r="D59" s="713"/>
      <c r="E59" s="714"/>
      <c r="F59" s="225"/>
    </row>
    <row r="60" spans="1:6" s="225" customFormat="1" ht="15.75" customHeight="1">
      <c r="D60" s="715"/>
      <c r="E60" s="713"/>
    </row>
    <row r="61" spans="1:6" s="225" customFormat="1" ht="15.75" customHeight="1"/>
    <row r="62" spans="1:6" s="225" customFormat="1" ht="15.75" customHeight="1">
      <c r="A62" s="228" t="s">
        <v>762</v>
      </c>
    </row>
    <row r="63" spans="1:6" s="225" customFormat="1" ht="15.75" customHeight="1">
      <c r="A63" s="253" t="s">
        <v>761</v>
      </c>
    </row>
    <row r="64" spans="1:6" s="225" customFormat="1" ht="15.75" customHeight="1">
      <c r="A64" s="264"/>
      <c r="B64" s="225" t="s">
        <v>754</v>
      </c>
      <c r="F64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5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0000"/>
  </sheetPr>
  <dimension ref="A1:P85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TableofContents!$D$20</f>
        <v>기타유동부채</v>
      </c>
      <c r="B2" s="449"/>
      <c r="C2" s="449"/>
      <c r="D2" s="449"/>
      <c r="E2" s="449"/>
      <c r="F2" s="449"/>
      <c r="G2" s="450"/>
      <c r="H2" s="1255" t="str">
        <f>"DIR - "&amp;TableofContents!$B$20</f>
        <v>DIR - CC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2005</v>
      </c>
      <c r="N16" s="247" t="s">
        <v>1866</v>
      </c>
    </row>
    <row r="17" spans="1:14" s="225" customFormat="1" ht="15.75" customHeight="1">
      <c r="A17" s="224"/>
      <c r="B17" s="224"/>
      <c r="C17" s="224"/>
      <c r="D17" s="224" t="s">
        <v>2012</v>
      </c>
      <c r="N17" s="247"/>
    </row>
    <row r="18" spans="1:14" s="225" customFormat="1" ht="15.75" customHeight="1">
      <c r="A18" s="224"/>
      <c r="B18" s="224"/>
      <c r="C18" s="224"/>
      <c r="D18" s="224" t="s">
        <v>2013</v>
      </c>
      <c r="N18" s="247"/>
    </row>
    <row r="19" spans="1:14" s="225" customFormat="1" ht="15.75" customHeight="1">
      <c r="A19" s="224"/>
      <c r="B19" s="224"/>
      <c r="C19" s="224"/>
      <c r="N19" s="247"/>
    </row>
    <row r="20" spans="1:14" s="225" customFormat="1" ht="15.75" customHeight="1">
      <c r="A20" s="224"/>
      <c r="B20" s="224" t="s">
        <v>1069</v>
      </c>
      <c r="C20" s="224" t="s">
        <v>2006</v>
      </c>
      <c r="N20" s="247" t="s">
        <v>1916</v>
      </c>
    </row>
    <row r="21" spans="1:14" s="225" customFormat="1" ht="15.75" customHeight="1">
      <c r="D21" s="471" t="s">
        <v>2000</v>
      </c>
      <c r="E21" s="226"/>
      <c r="F21" s="226"/>
      <c r="G21" s="226"/>
      <c r="H21" s="226"/>
      <c r="I21" s="226"/>
      <c r="J21" s="226"/>
      <c r="K21" s="226"/>
      <c r="L21" s="226"/>
      <c r="M21" s="226"/>
      <c r="N21" s="493"/>
    </row>
    <row r="22" spans="1:14" s="225" customFormat="1" ht="15.75" customHeight="1">
      <c r="D22" s="492" t="s">
        <v>2007</v>
      </c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D23" s="492" t="s">
        <v>2008</v>
      </c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D24" s="492" t="s">
        <v>2009</v>
      </c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D25" s="492" t="s">
        <v>2010</v>
      </c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B26" s="224"/>
      <c r="C26" s="224"/>
      <c r="D26" s="471" t="s">
        <v>2011</v>
      </c>
      <c r="E26" s="226"/>
      <c r="F26" s="226"/>
      <c r="G26" s="226"/>
      <c r="H26" s="226"/>
      <c r="I26" s="226"/>
      <c r="J26" s="226"/>
      <c r="K26" s="226"/>
      <c r="L26" s="226"/>
      <c r="M26" s="226"/>
      <c r="N26" s="493"/>
    </row>
    <row r="27" spans="1:14" s="225" customFormat="1" ht="15.75" customHeight="1">
      <c r="A27" s="224"/>
      <c r="B27" s="224"/>
      <c r="C27" s="224"/>
      <c r="D27" s="224"/>
      <c r="N27" s="247"/>
    </row>
    <row r="28" spans="1:14" s="225" customFormat="1" ht="15.75" customHeight="1">
      <c r="A28" s="224"/>
      <c r="B28" s="224" t="s">
        <v>1070</v>
      </c>
      <c r="C28" s="224" t="s">
        <v>2014</v>
      </c>
      <c r="N28" s="247" t="s">
        <v>1313</v>
      </c>
    </row>
    <row r="29" spans="1:14" s="225" customFormat="1" ht="15.75" customHeight="1">
      <c r="A29" s="224"/>
      <c r="B29" s="224"/>
      <c r="C29" s="224"/>
      <c r="D29" s="472" t="s">
        <v>2001</v>
      </c>
      <c r="N29" s="247"/>
    </row>
    <row r="30" spans="1:14" s="225" customFormat="1" ht="15.75" customHeight="1">
      <c r="A30" s="224"/>
      <c r="B30" s="224"/>
      <c r="C30" s="224"/>
      <c r="D30" s="224"/>
      <c r="N30" s="247"/>
    </row>
    <row r="31" spans="1:14" s="225" customFormat="1" ht="15.75" customHeight="1">
      <c r="A31" s="224"/>
      <c r="B31" s="224" t="s">
        <v>1076</v>
      </c>
      <c r="C31" s="224" t="s">
        <v>2015</v>
      </c>
      <c r="N31" s="247" t="s">
        <v>2002</v>
      </c>
    </row>
    <row r="32" spans="1:14" s="225" customFormat="1" ht="15.75" customHeight="1">
      <c r="A32" s="224"/>
      <c r="B32" s="224"/>
      <c r="C32" s="224"/>
      <c r="D32" s="472" t="s">
        <v>2003</v>
      </c>
      <c r="N32" s="247"/>
    </row>
    <row r="33" spans="1:14" s="225" customFormat="1" ht="15.75" customHeight="1">
      <c r="A33" s="224"/>
      <c r="B33" s="224"/>
      <c r="C33" s="224"/>
      <c r="D33" s="472"/>
      <c r="N33" s="247"/>
    </row>
    <row r="34" spans="1:14" s="225" customFormat="1" ht="15.75" customHeight="1">
      <c r="A34" s="224"/>
      <c r="B34" s="224" t="s">
        <v>1360</v>
      </c>
      <c r="C34" s="472" t="s">
        <v>2016</v>
      </c>
      <c r="N34" s="247" t="s">
        <v>1248</v>
      </c>
    </row>
    <row r="35" spans="1:14" s="225" customFormat="1" ht="15.75" customHeight="1">
      <c r="A35" s="224"/>
      <c r="B35" s="224"/>
      <c r="C35" s="224"/>
      <c r="D35" s="472" t="s">
        <v>2017</v>
      </c>
      <c r="N35" s="247"/>
    </row>
    <row r="36" spans="1:14" s="225" customFormat="1" ht="15.75" customHeight="1">
      <c r="A36" s="224"/>
      <c r="B36" s="224"/>
      <c r="C36" s="224"/>
      <c r="D36" s="472" t="s">
        <v>2018</v>
      </c>
      <c r="N36" s="247"/>
    </row>
    <row r="37" spans="1:14" s="225" customFormat="1" ht="15.75" customHeight="1">
      <c r="A37" s="224"/>
      <c r="B37" s="224"/>
      <c r="C37" s="224"/>
      <c r="D37" s="472"/>
      <c r="N37" s="247"/>
    </row>
    <row r="38" spans="1:14" s="225" customFormat="1" ht="15.75" customHeight="1">
      <c r="A38" s="224"/>
      <c r="B38" s="224" t="s">
        <v>1371</v>
      </c>
      <c r="C38" s="472" t="s">
        <v>2019</v>
      </c>
      <c r="N38" s="247" t="s">
        <v>1313</v>
      </c>
    </row>
    <row r="39" spans="1:14" s="225" customFormat="1" ht="15.75" customHeight="1">
      <c r="A39" s="224"/>
      <c r="B39" s="224"/>
      <c r="C39" s="224"/>
      <c r="D39" s="472"/>
      <c r="N39" s="247"/>
    </row>
    <row r="40" spans="1:14" s="225" customFormat="1" ht="15.75" customHeight="1">
      <c r="A40" s="224"/>
      <c r="B40" s="224" t="s">
        <v>1375</v>
      </c>
      <c r="C40" s="224" t="s">
        <v>1602</v>
      </c>
      <c r="N40" s="247"/>
    </row>
    <row r="41" spans="1:14" s="225" customFormat="1" ht="15.75" customHeight="1">
      <c r="A41" s="224"/>
      <c r="B41" s="224"/>
      <c r="C41" s="472"/>
      <c r="D41" s="472" t="s">
        <v>1590</v>
      </c>
      <c r="N41" s="247" t="s">
        <v>1467</v>
      </c>
    </row>
    <row r="42" spans="1:14" s="225" customFormat="1" ht="15.75" customHeight="1">
      <c r="A42" s="224"/>
      <c r="B42" s="224"/>
      <c r="C42" s="224"/>
      <c r="D42" s="472" t="s">
        <v>2020</v>
      </c>
      <c r="N42" s="247"/>
    </row>
    <row r="43" spans="1:14" s="225" customFormat="1" ht="15.75" customHeight="1">
      <c r="A43" s="224"/>
      <c r="B43" s="224"/>
      <c r="C43" s="224"/>
      <c r="D43" s="472"/>
      <c r="N43" s="247"/>
    </row>
    <row r="44" spans="1:14" s="225" customFormat="1" ht="15.75" customHeight="1">
      <c r="A44" s="224"/>
      <c r="B44" s="224" t="s">
        <v>1376</v>
      </c>
      <c r="C44" s="472" t="s">
        <v>1510</v>
      </c>
      <c r="N44" s="247" t="s">
        <v>1311</v>
      </c>
    </row>
    <row r="45" spans="1:14" s="225" customFormat="1" ht="15.75" customHeight="1">
      <c r="A45" s="224"/>
      <c r="B45" s="224"/>
      <c r="C45" s="224"/>
      <c r="D45" s="472" t="s">
        <v>2021</v>
      </c>
      <c r="N45" s="247"/>
    </row>
    <row r="46" spans="1:14" s="225" customFormat="1" ht="15.75" customHeight="1">
      <c r="A46" s="224"/>
      <c r="B46" s="224"/>
      <c r="C46" s="224"/>
      <c r="D46" s="472" t="s">
        <v>2022</v>
      </c>
      <c r="N46" s="247"/>
    </row>
    <row r="47" spans="1:14" s="225" customFormat="1" ht="15.75" customHeight="1">
      <c r="A47" s="224"/>
      <c r="B47" s="224"/>
      <c r="C47" s="224"/>
      <c r="D47" s="472" t="s">
        <v>2023</v>
      </c>
      <c r="N47" s="247"/>
    </row>
    <row r="48" spans="1:14" s="225" customFormat="1" ht="15.75" customHeight="1">
      <c r="A48" s="224"/>
      <c r="B48" s="224"/>
      <c r="C48" s="224"/>
      <c r="D48" s="472"/>
      <c r="N48" s="247"/>
    </row>
    <row r="49" spans="1:14" s="225" customFormat="1" ht="15.75" customHeight="1">
      <c r="A49" s="224"/>
      <c r="B49" s="224" t="s">
        <v>1379</v>
      </c>
      <c r="C49" s="472" t="s">
        <v>1985</v>
      </c>
      <c r="N49" s="247" t="s">
        <v>1311</v>
      </c>
    </row>
    <row r="50" spans="1:14" s="225" customFormat="1" ht="15.75" customHeight="1">
      <c r="A50" s="224"/>
      <c r="B50" s="224"/>
      <c r="C50" s="224"/>
      <c r="D50" s="472" t="s">
        <v>2024</v>
      </c>
      <c r="N50" s="247"/>
    </row>
    <row r="51" spans="1:14" s="225" customFormat="1" ht="15.75" customHeight="1">
      <c r="D51" s="472" t="s">
        <v>2025</v>
      </c>
      <c r="N51" s="247"/>
    </row>
    <row r="52" spans="1:14" s="225" customFormat="1" ht="15.75" customHeight="1">
      <c r="B52" s="253"/>
      <c r="C52" s="224"/>
      <c r="D52" s="224"/>
      <c r="N52" s="247"/>
    </row>
    <row r="53" spans="1:14" s="225" customFormat="1" ht="15.75" customHeight="1">
      <c r="B53" s="224" t="s">
        <v>1968</v>
      </c>
      <c r="C53" s="472" t="s">
        <v>2004</v>
      </c>
      <c r="N53" s="247"/>
    </row>
    <row r="54" spans="1:14" s="225" customFormat="1" ht="15.75" customHeight="1">
      <c r="C54" s="224"/>
      <c r="D54" s="472"/>
    </row>
    <row r="55" spans="1:14" s="225" customFormat="1" ht="15.75" customHeight="1">
      <c r="D55" s="472"/>
    </row>
    <row r="56" spans="1:14" s="229" customFormat="1" ht="15.75" customHeight="1">
      <c r="A56" s="253"/>
      <c r="B56" s="253"/>
      <c r="C56" s="224"/>
      <c r="D56" s="224"/>
      <c r="E56" s="225"/>
      <c r="F56" s="225"/>
      <c r="G56" s="225"/>
      <c r="H56" s="225"/>
      <c r="I56" s="225"/>
      <c r="J56" s="225"/>
      <c r="K56" s="225"/>
      <c r="L56" s="225"/>
    </row>
    <row r="57" spans="1:14" s="225" customFormat="1" ht="15.75" customHeight="1">
      <c r="A57" s="264"/>
      <c r="B57" s="224"/>
      <c r="C57" s="224"/>
      <c r="D57" s="224"/>
    </row>
    <row r="58" spans="1:14" s="225" customFormat="1" ht="15.75" customHeight="1">
      <c r="A58" s="264"/>
      <c r="B58" s="264"/>
    </row>
    <row r="59" spans="1:14" s="225" customFormat="1" ht="15.75" customHeight="1">
      <c r="A59" s="264"/>
      <c r="B59" s="264"/>
      <c r="C59" s="224"/>
      <c r="D59" s="224"/>
    </row>
    <row r="60" spans="1:14" s="225" customFormat="1" ht="15.75" customHeight="1">
      <c r="A60" s="264"/>
      <c r="B60" s="264"/>
      <c r="D60" s="224"/>
    </row>
    <row r="61" spans="1:14" s="225" customFormat="1" ht="15.75" customHeight="1">
      <c r="A61" s="264"/>
      <c r="B61" s="264"/>
    </row>
    <row r="62" spans="1:14" s="225" customFormat="1" ht="15.75" customHeight="1">
      <c r="A62" s="264"/>
      <c r="B62" s="264"/>
      <c r="C62" s="224"/>
      <c r="D62" s="224"/>
    </row>
    <row r="63" spans="1:14" s="225" customFormat="1" ht="15.75" customHeight="1">
      <c r="A63" s="264"/>
      <c r="B63" s="264"/>
    </row>
    <row r="64" spans="1:14" s="225" customFormat="1" ht="15.75" customHeight="1">
      <c r="A64" s="264"/>
      <c r="B64" s="264"/>
      <c r="C64" s="224"/>
      <c r="D64" s="224"/>
    </row>
    <row r="65" spans="1:14" s="225" customFormat="1" ht="15.75" customHeight="1">
      <c r="A65" s="264"/>
      <c r="B65" s="264"/>
    </row>
    <row r="66" spans="1:14" s="225" customFormat="1" ht="15.75" customHeight="1">
      <c r="A66" s="264"/>
      <c r="B66" s="253"/>
      <c r="N66" s="247"/>
    </row>
    <row r="67" spans="1:14" s="225" customFormat="1" ht="15.75" customHeight="1">
      <c r="A67" s="264"/>
      <c r="B67" s="264"/>
    </row>
    <row r="68" spans="1:14" s="225" customFormat="1" ht="15.75" customHeight="1">
      <c r="A68" s="264"/>
      <c r="B68" s="253"/>
      <c r="C68" s="224"/>
      <c r="N68" s="247"/>
    </row>
    <row r="69" spans="1:14" s="225" customFormat="1" ht="15.75" customHeight="1">
      <c r="A69" s="264"/>
      <c r="B69" s="264"/>
    </row>
    <row r="70" spans="1:14" s="225" customFormat="1" ht="15.75" customHeight="1">
      <c r="A70" s="264"/>
      <c r="B70" s="253"/>
      <c r="C70" s="224"/>
      <c r="N70" s="247"/>
    </row>
    <row r="71" spans="1:14" s="225" customFormat="1" ht="15.75" customHeight="1">
      <c r="A71" s="264"/>
      <c r="B71" s="264"/>
      <c r="D71" s="224"/>
    </row>
    <row r="72" spans="1:14" s="225" customFormat="1" ht="15.75" customHeight="1">
      <c r="A72" s="264"/>
      <c r="B72" s="264"/>
      <c r="D72" s="224"/>
    </row>
    <row r="73" spans="1:14" s="225" customFormat="1" ht="15.75" customHeight="1">
      <c r="A73" s="264"/>
      <c r="B73" s="264"/>
    </row>
    <row r="74" spans="1:14" s="225" customFormat="1" ht="15.75" customHeight="1">
      <c r="A74" s="264"/>
      <c r="B74" s="253"/>
      <c r="C74" s="224"/>
      <c r="N74" s="247"/>
    </row>
    <row r="75" spans="1:14" s="225" customFormat="1" ht="15.75" customHeight="1">
      <c r="A75" s="264"/>
      <c r="B75" s="264"/>
    </row>
    <row r="76" spans="1:14" s="225" customFormat="1" ht="15.75" customHeight="1">
      <c r="B76" s="224"/>
      <c r="C76" s="224"/>
      <c r="N76" s="247"/>
    </row>
    <row r="77" spans="1:14" s="225" customFormat="1" ht="15.75" customHeight="1"/>
    <row r="78" spans="1:14" s="225" customFormat="1" ht="15.75" customHeight="1">
      <c r="B78" s="224"/>
      <c r="C78" s="224"/>
      <c r="N78" s="247"/>
    </row>
    <row r="79" spans="1:14" s="225" customFormat="1" ht="15.75" customHeight="1"/>
    <row r="80" spans="1:14" s="225" customFormat="1" ht="15.75" customHeight="1">
      <c r="B80" s="224"/>
      <c r="C80" s="227"/>
      <c r="N80" s="252"/>
    </row>
    <row r="81" spans="2:4" s="225" customFormat="1" ht="15.75" customHeight="1">
      <c r="D81" s="223"/>
    </row>
    <row r="82" spans="2:4" s="225" customFormat="1" ht="15.75" customHeight="1">
      <c r="D82" s="223"/>
    </row>
    <row r="83" spans="2:4" s="225" customFormat="1" ht="15.75" customHeight="1">
      <c r="D83" s="223"/>
    </row>
    <row r="84" spans="2:4" s="225" customFormat="1" ht="15.75" customHeight="1"/>
    <row r="85" spans="2:4" s="225" customFormat="1" ht="15.75" customHeight="1">
      <c r="B85" s="224"/>
      <c r="C8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31">
    <tabColor rgb="FF00B050"/>
  </sheetPr>
  <dimension ref="A1:L38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2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2" ht="15.75" customHeight="1">
      <c r="A2" s="371" t="str">
        <f>TableofContents!$D$20</f>
        <v>기타유동부채</v>
      </c>
      <c r="B2" s="372"/>
      <c r="C2" s="372"/>
      <c r="D2" s="372"/>
      <c r="E2" s="372"/>
      <c r="F2" s="1274" t="str">
        <f>TableofContents!$B$20</f>
        <v>CC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2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2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  <c r="L6" s="242"/>
    </row>
    <row r="7" spans="1:12" ht="15.75" customHeight="1">
      <c r="A7" s="230"/>
      <c r="B7" s="231" t="str">
        <f>FS_worksheet!C80</f>
        <v xml:space="preserve">      선      수      금</v>
      </c>
      <c r="C7" s="230"/>
      <c r="D7" s="230">
        <f>VLOOKUP($B7,FS_worksheet!$C$11:$H$116,3,FALSE)</f>
        <v>753516677</v>
      </c>
      <c r="E7" s="230"/>
      <c r="F7" s="230">
        <f t="shared" ref="F7:F12" si="0">H7+J7-D7</f>
        <v>-347623461</v>
      </c>
      <c r="G7" s="232"/>
      <c r="H7" s="230"/>
      <c r="I7" s="230"/>
      <c r="J7" s="230">
        <f>VLOOKUP($B7,FS_worksheet!$C$11:$H$116,5,FALSE)</f>
        <v>405893216</v>
      </c>
      <c r="K7" s="233"/>
      <c r="L7" s="243"/>
    </row>
    <row r="8" spans="1:12" ht="15.75" customHeight="1">
      <c r="A8" s="233"/>
      <c r="B8" s="234" t="e">
        <f>FS_worksheet!C81</f>
        <v>#REF!</v>
      </c>
      <c r="C8" s="233"/>
      <c r="D8" s="233" t="e">
        <f>VLOOKUP($B8,FS_worksheet!$C$11:$H$116,3,FALSE)</f>
        <v>#REF!</v>
      </c>
      <c r="E8" s="233"/>
      <c r="F8" s="233" t="e">
        <f t="shared" si="0"/>
        <v>#REF!</v>
      </c>
      <c r="G8" s="235"/>
      <c r="H8" s="233"/>
      <c r="I8" s="233"/>
      <c r="J8" s="233" t="e">
        <f>VLOOKUP($B8,FS_worksheet!$C$11:$H$116,5,FALSE)</f>
        <v>#REF!</v>
      </c>
      <c r="L8" s="243"/>
    </row>
    <row r="9" spans="1:12" ht="15.75" customHeight="1">
      <c r="A9" s="230"/>
      <c r="B9" s="231" t="e">
        <f>FS_worksheet!C82</f>
        <v>#REF!</v>
      </c>
      <c r="C9" s="230"/>
      <c r="D9" s="230" t="e">
        <f>VLOOKUP($B9,FS_worksheet!$C$11:$H$116,3,FALSE)</f>
        <v>#REF!</v>
      </c>
      <c r="E9" s="230"/>
      <c r="F9" s="230" t="e">
        <f t="shared" si="0"/>
        <v>#REF!</v>
      </c>
      <c r="G9" s="232"/>
      <c r="H9" s="230"/>
      <c r="I9" s="230"/>
      <c r="J9" s="230" t="e">
        <f>VLOOKUP($B9,FS_worksheet!$C$11:$H$116,5,FALSE)</f>
        <v>#REF!</v>
      </c>
      <c r="K9" s="233"/>
    </row>
    <row r="10" spans="1:12" ht="15.75" customHeight="1">
      <c r="A10" s="233"/>
      <c r="B10" s="234" t="e">
        <f>FS_worksheet!C83</f>
        <v>#REF!</v>
      </c>
      <c r="C10" s="233"/>
      <c r="D10" s="233" t="e">
        <f>VLOOKUP($B10,FS_worksheet!$C$11:$H$116,3,FALSE)</f>
        <v>#REF!</v>
      </c>
      <c r="E10" s="233"/>
      <c r="F10" s="233" t="e">
        <f t="shared" si="0"/>
        <v>#REF!</v>
      </c>
      <c r="G10" s="235"/>
      <c r="H10" s="233"/>
      <c r="I10" s="233"/>
      <c r="J10" s="233" t="e">
        <f>VLOOKUP($B10,FS_worksheet!$C$11:$H$116,5,FALSE)</f>
        <v>#REF!</v>
      </c>
    </row>
    <row r="11" spans="1:12" ht="15.75" customHeight="1">
      <c r="A11" s="230"/>
      <c r="B11" s="231" t="e">
        <f>FS_worksheet!C85</f>
        <v>#REF!</v>
      </c>
      <c r="C11" s="230"/>
      <c r="D11" s="230" t="e">
        <f>VLOOKUP($B11,FS_worksheet!$C$11:$H$116,3,FALSE)</f>
        <v>#REF!</v>
      </c>
      <c r="E11" s="230"/>
      <c r="F11" s="230" t="e">
        <f t="shared" si="0"/>
        <v>#REF!</v>
      </c>
      <c r="G11" s="232"/>
      <c r="H11" s="230"/>
      <c r="I11" s="230"/>
      <c r="J11" s="230" t="e">
        <f>VLOOKUP($B11,FS_worksheet!$C$11:$H$116,5,FALSE)</f>
        <v>#REF!</v>
      </c>
      <c r="K11" s="233"/>
    </row>
    <row r="12" spans="1:12" ht="15.75" customHeight="1">
      <c r="A12" s="233"/>
      <c r="B12" s="234" t="e">
        <f>FS_worksheet!C86</f>
        <v>#REF!</v>
      </c>
      <c r="C12" s="233"/>
      <c r="D12" s="233" t="e">
        <f>VLOOKUP($B12,FS_worksheet!$C$11:$H$116,3,FALSE)</f>
        <v>#REF!</v>
      </c>
      <c r="E12" s="233"/>
      <c r="F12" s="233" t="e">
        <f t="shared" si="0"/>
        <v>#REF!</v>
      </c>
      <c r="G12" s="235"/>
      <c r="H12" s="233"/>
      <c r="I12" s="233"/>
      <c r="J12" s="233" t="e">
        <f>VLOOKUP($B12,FS_worksheet!$C$11:$H$116,5,FALSE)</f>
        <v>#REF!</v>
      </c>
    </row>
    <row r="15" spans="1:12" ht="15.75" customHeight="1">
      <c r="A15" s="222" t="s">
        <v>244</v>
      </c>
    </row>
    <row r="16" spans="1:12" ht="15.75" customHeight="1">
      <c r="A16" s="227" t="s">
        <v>245</v>
      </c>
      <c r="B16" s="223" t="s">
        <v>809</v>
      </c>
    </row>
    <row r="17" spans="1:6" ht="15.75" customHeight="1">
      <c r="A17" s="227" t="s">
        <v>338</v>
      </c>
      <c r="B17" s="227" t="s">
        <v>810</v>
      </c>
    </row>
    <row r="20" spans="1:6" ht="15.75" customHeight="1">
      <c r="A20" s="222" t="s">
        <v>246</v>
      </c>
    </row>
    <row r="21" spans="1:6" ht="15.75" customHeight="1">
      <c r="A21" s="227" t="s">
        <v>247</v>
      </c>
      <c r="B21" s="227" t="s">
        <v>895</v>
      </c>
    </row>
    <row r="22" spans="1:6" ht="15.75" customHeight="1">
      <c r="A22" s="227" t="s">
        <v>34</v>
      </c>
      <c r="B22" s="227" t="s">
        <v>896</v>
      </c>
    </row>
    <row r="23" spans="1:6" ht="15.75" customHeight="1">
      <c r="A23" s="227"/>
      <c r="B23" s="238" t="s">
        <v>897</v>
      </c>
    </row>
    <row r="24" spans="1:6" ht="15.75" customHeight="1">
      <c r="A24" s="227"/>
      <c r="B24" s="223" t="s">
        <v>898</v>
      </c>
    </row>
    <row r="25" spans="1:6" ht="15.75" customHeight="1">
      <c r="A25" s="227"/>
    </row>
    <row r="26" spans="1:6" s="225" customFormat="1" ht="15.75" customHeight="1">
      <c r="A26" s="228" t="s">
        <v>248</v>
      </c>
    </row>
    <row r="27" spans="1:6" s="225" customFormat="1" ht="15.75" customHeight="1"/>
    <row r="28" spans="1:6" s="225" customFormat="1" ht="15.75" customHeight="1"/>
    <row r="29" spans="1:6" s="225" customFormat="1" ht="15.75" customHeight="1">
      <c r="A29" s="228" t="s">
        <v>762</v>
      </c>
    </row>
    <row r="30" spans="1:6" s="225" customFormat="1" ht="15.75" customHeight="1">
      <c r="A30" s="253" t="s">
        <v>761</v>
      </c>
    </row>
    <row r="31" spans="1:6" s="225" customFormat="1" ht="15.75" customHeight="1">
      <c r="A31" s="264"/>
      <c r="B31" s="225" t="s">
        <v>754</v>
      </c>
      <c r="F31" s="225" t="s">
        <v>755</v>
      </c>
    </row>
    <row r="32" spans="1:6" s="225" customFormat="1" ht="15.75" customHeight="1"/>
    <row r="33" s="225" customFormat="1" ht="15.75" customHeight="1"/>
    <row r="34" s="225" customFormat="1" ht="15.75" customHeight="1"/>
    <row r="35" s="225" customFormat="1" ht="15.75" customHeight="1"/>
    <row r="36" s="225" customFormat="1" ht="15.75" customHeight="1"/>
    <row r="37" s="225" customFormat="1" ht="15.75" customHeight="1"/>
    <row r="38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</sheetPr>
  <dimension ref="A1:P93"/>
  <sheetViews>
    <sheetView zoomScaleSheetLayoutView="85" workbookViewId="0">
      <selection activeCell="C70" sqref="C70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TableofContents!$D$21</f>
        <v>퇴직급여충당부채, 급여</v>
      </c>
      <c r="B2" s="449"/>
      <c r="C2" s="449"/>
      <c r="D2" s="449"/>
      <c r="E2" s="449"/>
      <c r="F2" s="449"/>
      <c r="G2" s="450"/>
      <c r="H2" s="1255" t="str">
        <f>"DIR - "&amp;TableofContents!$B$21</f>
        <v>DIR - EE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2033</v>
      </c>
      <c r="N16" s="247" t="s">
        <v>2028</v>
      </c>
    </row>
    <row r="17" spans="1:14" s="225" customFormat="1" ht="15.75" customHeight="1">
      <c r="A17" s="224"/>
      <c r="B17" s="224"/>
      <c r="C17" s="472" t="s">
        <v>2034</v>
      </c>
      <c r="N17" s="246"/>
    </row>
    <row r="18" spans="1:14" s="225" customFormat="1" ht="15.75" customHeight="1">
      <c r="A18" s="224"/>
      <c r="B18" s="224"/>
      <c r="C18" s="224" t="s">
        <v>2035</v>
      </c>
      <c r="N18" s="246"/>
    </row>
    <row r="19" spans="1:14" s="225" customFormat="1" ht="15.75" customHeight="1">
      <c r="A19" s="224"/>
      <c r="B19" s="224"/>
      <c r="C19" s="224" t="s">
        <v>2036</v>
      </c>
      <c r="N19" s="247"/>
    </row>
    <row r="20" spans="1:14" s="225" customFormat="1" ht="15.75" customHeight="1">
      <c r="A20" s="224"/>
      <c r="B20" s="224"/>
      <c r="C20" s="224" t="s">
        <v>2037</v>
      </c>
      <c r="N20" s="247"/>
    </row>
    <row r="21" spans="1:14" s="225" customFormat="1" ht="15.75" customHeight="1">
      <c r="A21" s="224"/>
      <c r="B21" s="224"/>
      <c r="C21" s="224" t="s">
        <v>2038</v>
      </c>
      <c r="N21" s="247"/>
    </row>
    <row r="22" spans="1:14" s="225" customFormat="1" ht="15.75" customHeight="1">
      <c r="C22" s="224" t="s">
        <v>2039</v>
      </c>
      <c r="E22" s="226"/>
      <c r="F22" s="226"/>
      <c r="G22" s="226"/>
      <c r="H22" s="226"/>
      <c r="I22" s="226"/>
      <c r="J22" s="226"/>
      <c r="K22" s="226"/>
      <c r="L22" s="226"/>
      <c r="M22" s="226"/>
      <c r="N22" s="494"/>
    </row>
    <row r="23" spans="1:14" s="225" customFormat="1" ht="15.75" customHeight="1">
      <c r="C23" s="224" t="s">
        <v>2040</v>
      </c>
      <c r="E23" s="226"/>
      <c r="F23" s="226"/>
      <c r="G23" s="226"/>
      <c r="H23" s="226"/>
      <c r="I23" s="226"/>
      <c r="J23" s="226"/>
      <c r="K23" s="226"/>
      <c r="L23" s="226"/>
      <c r="M23" s="226"/>
      <c r="N23" s="494"/>
    </row>
    <row r="24" spans="1:14" s="225" customFormat="1" ht="15.75" customHeight="1">
      <c r="C24" s="224" t="s">
        <v>2041</v>
      </c>
      <c r="E24" s="226"/>
      <c r="F24" s="226"/>
      <c r="G24" s="226"/>
      <c r="H24" s="226"/>
      <c r="I24" s="226"/>
      <c r="J24" s="226"/>
      <c r="K24" s="226"/>
      <c r="L24" s="226"/>
      <c r="M24" s="226"/>
      <c r="N24" s="494"/>
    </row>
    <row r="25" spans="1:14" s="225" customFormat="1" ht="15.75" customHeight="1">
      <c r="C25" s="224"/>
      <c r="E25" s="226"/>
      <c r="F25" s="226"/>
      <c r="G25" s="226"/>
      <c r="H25" s="226"/>
      <c r="I25" s="226"/>
      <c r="J25" s="226"/>
      <c r="K25" s="226"/>
      <c r="L25" s="226"/>
      <c r="M25" s="226"/>
      <c r="N25" s="494"/>
    </row>
    <row r="26" spans="1:14" s="225" customFormat="1" ht="15.75" customHeight="1">
      <c r="B26" s="224" t="s">
        <v>2042</v>
      </c>
      <c r="C26" s="224" t="s">
        <v>2043</v>
      </c>
      <c r="E26" s="226"/>
      <c r="F26" s="226"/>
      <c r="G26" s="226"/>
      <c r="H26" s="226"/>
      <c r="I26" s="226"/>
      <c r="J26" s="226"/>
      <c r="K26" s="226"/>
      <c r="L26" s="226"/>
      <c r="M26" s="226"/>
      <c r="N26" s="495" t="s">
        <v>2002</v>
      </c>
    </row>
    <row r="27" spans="1:14" s="225" customFormat="1" ht="15.75" customHeight="1">
      <c r="C27" s="225" t="s">
        <v>2029</v>
      </c>
      <c r="E27" s="226"/>
      <c r="F27" s="226"/>
      <c r="G27" s="226"/>
      <c r="H27" s="226"/>
      <c r="I27" s="226"/>
      <c r="J27" s="226"/>
      <c r="K27" s="226"/>
      <c r="L27" s="226"/>
      <c r="M27" s="226"/>
      <c r="N27" s="495"/>
    </row>
    <row r="28" spans="1:14" s="225" customFormat="1" ht="15.75" customHeight="1">
      <c r="B28" s="224"/>
      <c r="C28" s="224"/>
      <c r="E28" s="226"/>
      <c r="F28" s="226"/>
      <c r="G28" s="226"/>
      <c r="H28" s="226"/>
      <c r="I28" s="226"/>
      <c r="J28" s="226"/>
      <c r="K28" s="226"/>
      <c r="L28" s="226"/>
      <c r="M28" s="226"/>
      <c r="N28" s="494"/>
    </row>
    <row r="29" spans="1:14" s="225" customFormat="1" ht="15.75" customHeight="1">
      <c r="A29" s="224"/>
      <c r="B29" s="224" t="s">
        <v>2044</v>
      </c>
      <c r="C29" s="224" t="s">
        <v>2045</v>
      </c>
      <c r="N29" s="246" t="s">
        <v>2002</v>
      </c>
    </row>
    <row r="30" spans="1:14" s="225" customFormat="1" ht="15.75" customHeight="1">
      <c r="A30" s="224"/>
      <c r="B30" s="224"/>
      <c r="C30" s="472" t="s">
        <v>2047</v>
      </c>
      <c r="N30" s="246"/>
    </row>
    <row r="31" spans="1:14" s="225" customFormat="1" ht="15.75" customHeight="1">
      <c r="A31" s="224"/>
      <c r="B31" s="224"/>
      <c r="C31" s="224" t="s">
        <v>2046</v>
      </c>
      <c r="N31" s="246"/>
    </row>
    <row r="32" spans="1:14" s="225" customFormat="1" ht="15.75" customHeight="1">
      <c r="A32" s="224"/>
      <c r="B32" s="224"/>
      <c r="C32" s="472" t="s">
        <v>2048</v>
      </c>
      <c r="N32" s="496"/>
    </row>
    <row r="33" spans="1:14" s="225" customFormat="1" ht="15.75" customHeight="1">
      <c r="A33" s="224"/>
      <c r="B33" s="224"/>
      <c r="C33" s="472" t="s">
        <v>2049</v>
      </c>
      <c r="N33" s="246"/>
    </row>
    <row r="34" spans="1:14" s="225" customFormat="1" ht="15.75" customHeight="1">
      <c r="A34" s="224"/>
      <c r="B34" s="224"/>
      <c r="C34" s="472" t="s">
        <v>2050</v>
      </c>
      <c r="N34" s="246"/>
    </row>
    <row r="35" spans="1:14" s="225" customFormat="1" ht="15.75" customHeight="1">
      <c r="A35" s="224"/>
      <c r="B35" s="224"/>
      <c r="C35" s="224"/>
      <c r="N35" s="496"/>
    </row>
    <row r="36" spans="1:14" s="225" customFormat="1" ht="15.75" customHeight="1">
      <c r="A36" s="224"/>
      <c r="B36" s="224" t="s">
        <v>2051</v>
      </c>
      <c r="C36" s="224" t="s">
        <v>2052</v>
      </c>
      <c r="N36" s="496" t="s">
        <v>2030</v>
      </c>
    </row>
    <row r="37" spans="1:14" s="225" customFormat="1" ht="15.75" customHeight="1">
      <c r="A37" s="224"/>
      <c r="B37" s="224"/>
      <c r="C37" s="224" t="s">
        <v>2053</v>
      </c>
      <c r="N37" s="496"/>
    </row>
    <row r="38" spans="1:14" s="225" customFormat="1" ht="15.75" customHeight="1">
      <c r="A38" s="224"/>
      <c r="B38" s="224"/>
      <c r="C38" s="224" t="s">
        <v>2054</v>
      </c>
      <c r="N38" s="496"/>
    </row>
    <row r="39" spans="1:14" s="225" customFormat="1" ht="15.75" customHeight="1">
      <c r="A39" s="224"/>
      <c r="B39" s="224"/>
      <c r="C39" s="224"/>
      <c r="N39" s="496"/>
    </row>
    <row r="40" spans="1:14" s="225" customFormat="1" ht="15.75" customHeight="1">
      <c r="A40" s="224"/>
      <c r="B40" s="224" t="s">
        <v>2055</v>
      </c>
      <c r="C40" s="224" t="s">
        <v>2056</v>
      </c>
      <c r="N40" s="496" t="s">
        <v>2028</v>
      </c>
    </row>
    <row r="41" spans="1:14" s="225" customFormat="1" ht="15.75" customHeight="1">
      <c r="A41" s="224"/>
      <c r="B41" s="224"/>
      <c r="C41" s="472" t="s">
        <v>2057</v>
      </c>
      <c r="N41" s="496"/>
    </row>
    <row r="42" spans="1:14" s="225" customFormat="1" ht="15.75" customHeight="1">
      <c r="A42" s="224"/>
      <c r="B42" s="224"/>
      <c r="C42" s="472" t="s">
        <v>2058</v>
      </c>
      <c r="N42" s="496"/>
    </row>
    <row r="43" spans="1:14" s="225" customFormat="1" ht="15.75" customHeight="1">
      <c r="A43" s="224"/>
      <c r="B43" s="224"/>
      <c r="C43" s="472" t="s">
        <v>2059</v>
      </c>
      <c r="N43" s="496"/>
    </row>
    <row r="44" spans="1:14" s="225" customFormat="1" ht="15.75" customHeight="1">
      <c r="A44" s="224"/>
      <c r="B44" s="224"/>
      <c r="C44" s="472" t="s">
        <v>2060</v>
      </c>
      <c r="N44" s="496"/>
    </row>
    <row r="45" spans="1:14" s="225" customFormat="1" ht="15.75" customHeight="1">
      <c r="A45" s="224"/>
      <c r="B45" s="224"/>
      <c r="C45" s="224"/>
      <c r="N45" s="496"/>
    </row>
    <row r="46" spans="1:14" s="225" customFormat="1" ht="15.75" customHeight="1">
      <c r="A46" s="224"/>
      <c r="B46" s="224" t="s">
        <v>2061</v>
      </c>
      <c r="C46" s="224" t="s">
        <v>2062</v>
      </c>
      <c r="N46" s="496" t="s">
        <v>2031</v>
      </c>
    </row>
    <row r="47" spans="1:14" s="225" customFormat="1" ht="15.75" customHeight="1">
      <c r="A47" s="224"/>
      <c r="B47" s="224"/>
      <c r="C47" s="224" t="s">
        <v>2063</v>
      </c>
      <c r="N47" s="496"/>
    </row>
    <row r="48" spans="1:14" s="225" customFormat="1" ht="15.75" customHeight="1">
      <c r="A48" s="224"/>
      <c r="B48" s="224"/>
      <c r="C48" s="224" t="s">
        <v>2064</v>
      </c>
      <c r="N48" s="496"/>
    </row>
    <row r="49" spans="1:14" s="225" customFormat="1" ht="15.75" customHeight="1">
      <c r="A49" s="224"/>
      <c r="B49" s="224"/>
      <c r="C49" s="472" t="s">
        <v>2066</v>
      </c>
      <c r="N49" s="496"/>
    </row>
    <row r="50" spans="1:14" s="225" customFormat="1" ht="15.75" customHeight="1">
      <c r="A50" s="224"/>
      <c r="B50" s="224"/>
      <c r="C50" s="472" t="s">
        <v>2067</v>
      </c>
      <c r="N50" s="496"/>
    </row>
    <row r="51" spans="1:14" s="225" customFormat="1" ht="15.75" customHeight="1">
      <c r="A51" s="224"/>
      <c r="B51" s="224"/>
      <c r="C51" s="472" t="s">
        <v>2065</v>
      </c>
      <c r="N51" s="496" t="s">
        <v>2032</v>
      </c>
    </row>
    <row r="52" spans="1:14" s="225" customFormat="1" ht="15.75" customHeight="1">
      <c r="C52" s="224" t="s">
        <v>2068</v>
      </c>
      <c r="N52" s="246"/>
    </row>
    <row r="53" spans="1:14" s="225" customFormat="1" ht="15.75" customHeight="1">
      <c r="B53" s="253"/>
      <c r="C53" s="224" t="s">
        <v>2069</v>
      </c>
      <c r="N53" s="246"/>
    </row>
    <row r="54" spans="1:14" s="225" customFormat="1" ht="15.75" customHeight="1">
      <c r="B54" s="253"/>
      <c r="C54" s="224"/>
      <c r="N54" s="246"/>
    </row>
    <row r="55" spans="1:14" s="225" customFormat="1" ht="15.75" customHeight="1">
      <c r="B55" s="224" t="s">
        <v>2070</v>
      </c>
      <c r="C55" s="224" t="s">
        <v>2071</v>
      </c>
      <c r="N55" s="496" t="s">
        <v>1311</v>
      </c>
    </row>
    <row r="56" spans="1:14" s="225" customFormat="1" ht="15.75" customHeight="1">
      <c r="C56" s="224" t="s">
        <v>2072</v>
      </c>
      <c r="N56" s="496"/>
    </row>
    <row r="57" spans="1:14" s="225" customFormat="1" ht="15.75" customHeight="1">
      <c r="B57" s="224"/>
      <c r="C57" s="472" t="s">
        <v>2073</v>
      </c>
      <c r="N57" s="496"/>
    </row>
    <row r="58" spans="1:14" s="225" customFormat="1" ht="15.75" customHeight="1">
      <c r="C58" s="472" t="s">
        <v>2074</v>
      </c>
      <c r="N58" s="496"/>
    </row>
    <row r="59" spans="1:14" s="225" customFormat="1" ht="15.75" customHeight="1">
      <c r="C59" s="472" t="s">
        <v>2075</v>
      </c>
      <c r="N59" s="496"/>
    </row>
    <row r="60" spans="1:14" s="225" customFormat="1" ht="15.75" customHeight="1">
      <c r="B60" s="224"/>
      <c r="C60" s="472"/>
      <c r="N60" s="496"/>
    </row>
    <row r="61" spans="1:14" s="225" customFormat="1" ht="15.75" customHeight="1">
      <c r="B61" s="224" t="s">
        <v>2076</v>
      </c>
      <c r="C61" s="224" t="s">
        <v>2077</v>
      </c>
      <c r="N61" s="472"/>
    </row>
    <row r="62" spans="1:14" s="225" customFormat="1" ht="15.75" customHeight="1">
      <c r="C62" s="224"/>
      <c r="D62" s="472"/>
    </row>
    <row r="63" spans="1:14" s="225" customFormat="1" ht="15.75" customHeight="1">
      <c r="D63" s="472"/>
    </row>
    <row r="64" spans="1:14" s="229" customFormat="1" ht="15.75" customHeight="1">
      <c r="A64" s="253"/>
      <c r="B64" s="253"/>
      <c r="C64" s="224"/>
      <c r="D64" s="224"/>
      <c r="E64" s="225"/>
      <c r="F64" s="225"/>
      <c r="G64" s="225"/>
      <c r="H64" s="225"/>
      <c r="I64" s="225"/>
      <c r="J64" s="225"/>
      <c r="K64" s="225"/>
      <c r="L64" s="225"/>
    </row>
    <row r="65" spans="1:14" s="225" customFormat="1" ht="15.75" customHeight="1">
      <c r="A65" s="264"/>
      <c r="B65" s="224"/>
      <c r="C65" s="224"/>
      <c r="D65" s="224"/>
    </row>
    <row r="66" spans="1:14" s="225" customFormat="1" ht="15.75" customHeight="1">
      <c r="A66" s="264"/>
      <c r="B66" s="264"/>
    </row>
    <row r="67" spans="1:14" s="225" customFormat="1" ht="15.75" customHeight="1">
      <c r="A67" s="264"/>
      <c r="B67" s="264"/>
      <c r="C67" s="224"/>
      <c r="D67" s="224"/>
    </row>
    <row r="68" spans="1:14" s="225" customFormat="1" ht="15.75" customHeight="1">
      <c r="A68" s="264"/>
      <c r="B68" s="264"/>
      <c r="D68" s="224"/>
    </row>
    <row r="69" spans="1:14" s="225" customFormat="1" ht="15.75" customHeight="1">
      <c r="A69" s="264"/>
      <c r="B69" s="264"/>
    </row>
    <row r="70" spans="1:14" s="225" customFormat="1" ht="15.75" customHeight="1">
      <c r="A70" s="264"/>
      <c r="B70" s="264"/>
      <c r="C70" s="224"/>
      <c r="D70" s="224"/>
    </row>
    <row r="71" spans="1:14" s="225" customFormat="1" ht="15.75" customHeight="1">
      <c r="A71" s="264"/>
      <c r="B71" s="264"/>
    </row>
    <row r="72" spans="1:14" s="225" customFormat="1" ht="15.75" customHeight="1">
      <c r="A72" s="264"/>
      <c r="B72" s="264"/>
      <c r="C72" s="224"/>
      <c r="D72" s="224"/>
    </row>
    <row r="73" spans="1:14" s="225" customFormat="1" ht="15.75" customHeight="1">
      <c r="A73" s="264"/>
      <c r="B73" s="264"/>
    </row>
    <row r="74" spans="1:14" s="225" customFormat="1" ht="15.75" customHeight="1">
      <c r="A74" s="264"/>
      <c r="B74" s="253"/>
      <c r="N74" s="247"/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53"/>
      <c r="C76" s="224"/>
      <c r="N76" s="247"/>
    </row>
    <row r="77" spans="1:14" s="225" customFormat="1" ht="15.75" customHeight="1">
      <c r="A77" s="264"/>
      <c r="B77" s="264"/>
    </row>
    <row r="78" spans="1:14" s="225" customFormat="1" ht="15.75" customHeight="1">
      <c r="A78" s="264"/>
      <c r="B78" s="253"/>
      <c r="C78" s="224"/>
      <c r="N78" s="247"/>
    </row>
    <row r="79" spans="1:14" s="225" customFormat="1" ht="15.75" customHeight="1">
      <c r="A79" s="264"/>
      <c r="B79" s="264"/>
      <c r="D79" s="224"/>
    </row>
    <row r="80" spans="1:14" s="225" customFormat="1" ht="15.75" customHeight="1">
      <c r="A80" s="264"/>
      <c r="B80" s="264"/>
      <c r="D80" s="224"/>
    </row>
    <row r="81" spans="1:14" s="225" customFormat="1" ht="15.75" customHeight="1">
      <c r="A81" s="264"/>
      <c r="B81" s="264"/>
    </row>
    <row r="82" spans="1:14" s="225" customFormat="1" ht="15.75" customHeight="1">
      <c r="A82" s="264"/>
      <c r="B82" s="253"/>
      <c r="C82" s="224"/>
      <c r="N82" s="247"/>
    </row>
    <row r="83" spans="1:14" s="225" customFormat="1" ht="15.75" customHeight="1">
      <c r="A83" s="264"/>
      <c r="B83" s="264"/>
    </row>
    <row r="84" spans="1:14" s="225" customFormat="1" ht="15.75" customHeight="1">
      <c r="B84" s="224"/>
      <c r="C84" s="224"/>
      <c r="N84" s="247"/>
    </row>
    <row r="85" spans="1:14" s="225" customFormat="1" ht="15.75" customHeight="1"/>
    <row r="86" spans="1:14" s="225" customFormat="1" ht="15.75" customHeight="1">
      <c r="B86" s="224"/>
      <c r="C86" s="224"/>
      <c r="N86" s="247"/>
    </row>
    <row r="87" spans="1:14" s="225" customFormat="1" ht="15.75" customHeight="1"/>
    <row r="88" spans="1:14" s="225" customFormat="1" ht="15.75" customHeight="1">
      <c r="B88" s="224"/>
      <c r="C88" s="227"/>
      <c r="N88" s="252"/>
    </row>
    <row r="89" spans="1:14" s="225" customFormat="1" ht="15.75" customHeight="1">
      <c r="D89" s="223"/>
    </row>
    <row r="90" spans="1:14" s="225" customFormat="1" ht="15.75" customHeight="1">
      <c r="D90" s="223"/>
    </row>
    <row r="91" spans="1:14" s="225" customFormat="1" ht="15.75" customHeight="1">
      <c r="D91" s="223"/>
    </row>
    <row r="92" spans="1:14" s="225" customFormat="1" ht="15.75" customHeight="1"/>
    <row r="93" spans="1:14" s="225" customFormat="1" ht="15.75" customHeight="1">
      <c r="B93" s="224"/>
      <c r="C93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32">
    <tabColor rgb="FF00B050"/>
  </sheetPr>
  <dimension ref="A1:K41"/>
  <sheetViews>
    <sheetView topLeftCell="A4" zoomScaleSheetLayoutView="85" workbookViewId="0">
      <selection activeCell="G8" sqref="G8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240</v>
      </c>
      <c r="G1" s="1272"/>
      <c r="H1" s="1273" t="s">
        <v>241</v>
      </c>
      <c r="I1" s="1273"/>
      <c r="J1" s="374" t="s">
        <v>242</v>
      </c>
    </row>
    <row r="2" spans="1:11" ht="15.75" customHeight="1">
      <c r="A2" s="371" t="str">
        <f>TableofContents!$D$21</f>
        <v>퇴직급여충당부채, 급여</v>
      </c>
      <c r="B2" s="372"/>
      <c r="C2" s="372"/>
      <c r="D2" s="372"/>
      <c r="E2" s="372"/>
      <c r="F2" s="1274" t="str">
        <f>TableofContents!$B$21</f>
        <v>EE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FS_worksheet!C92</f>
        <v xml:space="preserve">      퇴직 급여 충 당 금</v>
      </c>
      <c r="C7" s="230"/>
      <c r="D7" s="230">
        <f>VLOOKUP($B7,FS_worksheet!$C$11:$H$116,3,FALSE)</f>
        <v>75399400</v>
      </c>
      <c r="E7" s="230"/>
      <c r="F7" s="230">
        <f>H7+J7-D7</f>
        <v>9568280</v>
      </c>
      <c r="G7" s="232"/>
      <c r="H7" s="230"/>
      <c r="I7" s="711" t="s">
        <v>2790</v>
      </c>
      <c r="J7" s="230">
        <f>VLOOKUP($B7,FS_worksheet!$C$11:$H$116,5,FALSE)</f>
        <v>84967680</v>
      </c>
      <c r="K7" s="233"/>
    </row>
    <row r="8" spans="1:11" s="233" customFormat="1" ht="15.75" customHeight="1">
      <c r="B8" s="234" t="str">
        <f>FS_worksheet!C36</f>
        <v xml:space="preserve">      퇴직연금운용자산</v>
      </c>
      <c r="D8" s="233">
        <f>VLOOKUP($B8,FS_worksheet!$C$11:$H$116,3,FALSE)</f>
        <v>60125154</v>
      </c>
      <c r="F8" s="233">
        <f>H8+J8-D8</f>
        <v>16671899</v>
      </c>
      <c r="G8" s="235"/>
      <c r="H8" s="233">
        <v>32417670</v>
      </c>
      <c r="I8" s="711" t="s">
        <v>2790</v>
      </c>
      <c r="J8" s="233">
        <f>VLOOKUP($B8,FS_worksheet!$C$11:$H$116,5,FALSE)</f>
        <v>44379383</v>
      </c>
    </row>
    <row r="9" spans="1:11" ht="15.75" customHeight="1">
      <c r="A9" s="233"/>
      <c r="B9" s="233"/>
      <c r="C9" s="233"/>
      <c r="D9" s="233"/>
      <c r="E9" s="233"/>
      <c r="F9" s="233"/>
      <c r="G9" s="235"/>
      <c r="H9" s="233"/>
      <c r="I9" s="233"/>
      <c r="J9" s="233"/>
    </row>
    <row r="11" spans="1:11" ht="15.75" customHeight="1">
      <c r="A11" s="222" t="s">
        <v>244</v>
      </c>
    </row>
    <row r="12" spans="1:11" ht="15.75" customHeight="1">
      <c r="A12" s="244" t="s">
        <v>245</v>
      </c>
      <c r="B12" s="223" t="s">
        <v>899</v>
      </c>
    </row>
    <row r="13" spans="1:11" ht="15.75" customHeight="1">
      <c r="B13" s="227" t="s">
        <v>900</v>
      </c>
    </row>
    <row r="14" spans="1:11" s="225" customFormat="1" ht="15.75" customHeight="1">
      <c r="A14" s="244" t="s">
        <v>34</v>
      </c>
      <c r="B14" s="223" t="s">
        <v>901</v>
      </c>
      <c r="H14" s="225" t="s">
        <v>2792</v>
      </c>
    </row>
    <row r="15" spans="1:11" s="225" customFormat="1" ht="15.75" customHeight="1">
      <c r="A15" s="244" t="s">
        <v>35</v>
      </c>
      <c r="B15" s="223" t="s">
        <v>902</v>
      </c>
    </row>
    <row r="16" spans="1:11" s="225" customFormat="1" ht="15.75" customHeight="1">
      <c r="A16" s="244" t="s">
        <v>36</v>
      </c>
      <c r="B16" s="223" t="s">
        <v>903</v>
      </c>
    </row>
    <row r="17" spans="1:4" s="225" customFormat="1" ht="15.75" customHeight="1">
      <c r="A17" s="244" t="s">
        <v>39</v>
      </c>
      <c r="B17" s="223" t="s">
        <v>904</v>
      </c>
    </row>
    <row r="20" spans="1:4" ht="15.75" customHeight="1">
      <c r="A20" s="222" t="s">
        <v>246</v>
      </c>
    </row>
    <row r="21" spans="1:4" s="225" customFormat="1" ht="15.75" customHeight="1">
      <c r="A21" s="224" t="s">
        <v>245</v>
      </c>
      <c r="B21" s="223" t="s">
        <v>905</v>
      </c>
    </row>
    <row r="22" spans="1:4" s="225" customFormat="1" ht="15.75" customHeight="1">
      <c r="A22" s="224" t="s">
        <v>34</v>
      </c>
      <c r="B22" s="223" t="s">
        <v>906</v>
      </c>
    </row>
    <row r="23" spans="1:4" s="225" customFormat="1" ht="15.75" customHeight="1">
      <c r="A23" s="224" t="s">
        <v>35</v>
      </c>
      <c r="B23" s="223" t="s">
        <v>907</v>
      </c>
    </row>
    <row r="24" spans="1:4" s="225" customFormat="1" ht="15.75" customHeight="1">
      <c r="A24" s="224" t="s">
        <v>36</v>
      </c>
      <c r="B24" s="223" t="s">
        <v>908</v>
      </c>
    </row>
    <row r="25" spans="1:4" s="225" customFormat="1" ht="15.75" customHeight="1">
      <c r="A25" s="224" t="s">
        <v>39</v>
      </c>
      <c r="B25" s="223" t="s">
        <v>909</v>
      </c>
    </row>
    <row r="26" spans="1:4" s="225" customFormat="1" ht="15.75" customHeight="1">
      <c r="A26" s="224" t="s">
        <v>43</v>
      </c>
      <c r="B26" s="223" t="s">
        <v>910</v>
      </c>
    </row>
    <row r="27" spans="1:4" s="225" customFormat="1" ht="15.75" customHeight="1">
      <c r="A27" s="224" t="s">
        <v>44</v>
      </c>
      <c r="B27" s="223" t="s">
        <v>4882</v>
      </c>
    </row>
    <row r="28" spans="1:4" s="225" customFormat="1" ht="15.75" customHeight="1">
      <c r="A28" s="224"/>
      <c r="B28" s="223"/>
    </row>
    <row r="29" spans="1:4" s="225" customFormat="1" ht="15.75" customHeight="1">
      <c r="A29" s="224"/>
      <c r="B29" s="709" t="s">
        <v>2789</v>
      </c>
      <c r="C29" s="710"/>
      <c r="D29" s="710"/>
    </row>
    <row r="30" spans="1:4" s="225" customFormat="1" ht="15.75" customHeight="1">
      <c r="B30" s="711" t="s">
        <v>2790</v>
      </c>
      <c r="C30" s="712"/>
      <c r="D30" s="712" t="s">
        <v>2791</v>
      </c>
    </row>
    <row r="31" spans="1:4" s="225" customFormat="1" ht="15.75" customHeight="1">
      <c r="B31" s="711"/>
      <c r="C31" s="712"/>
      <c r="D31" s="712"/>
    </row>
    <row r="32" spans="1:4" s="225" customFormat="1" ht="15.75" customHeight="1">
      <c r="A32" s="228" t="s">
        <v>248</v>
      </c>
    </row>
    <row r="33" spans="1:6" s="225" customFormat="1" ht="15.75" customHeight="1"/>
    <row r="34" spans="1:6" s="225" customFormat="1" ht="15.75" customHeight="1"/>
    <row r="35" spans="1:6" s="225" customFormat="1" ht="15.75" customHeight="1">
      <c r="A35" s="228" t="s">
        <v>762</v>
      </c>
    </row>
    <row r="36" spans="1:6" s="225" customFormat="1" ht="15.75" customHeight="1">
      <c r="A36" s="253" t="s">
        <v>761</v>
      </c>
    </row>
    <row r="37" spans="1:6" s="225" customFormat="1" ht="15.75" customHeight="1">
      <c r="A37" s="264"/>
      <c r="B37" s="225" t="s">
        <v>754</v>
      </c>
      <c r="F37" s="225" t="s">
        <v>755</v>
      </c>
    </row>
    <row r="38" spans="1:6" s="225" customFormat="1" ht="15.75" customHeight="1"/>
    <row r="39" spans="1:6" s="225" customFormat="1" ht="15.75" customHeight="1"/>
    <row r="40" spans="1:6" s="225" customFormat="1" ht="15.75" customHeight="1"/>
    <row r="41" spans="1:6" s="225" customFormat="1" ht="15.75" customHeight="1"/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0000"/>
  </sheetPr>
  <dimension ref="A1:P97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TableofContents!$D$22</f>
        <v>제충당부채, 기타의 비유동부채</v>
      </c>
      <c r="B2" s="449"/>
      <c r="C2" s="449"/>
      <c r="D2" s="449"/>
      <c r="E2" s="449"/>
      <c r="F2" s="449"/>
      <c r="G2" s="450"/>
      <c r="H2" s="1255" t="str">
        <f>"DIR - "&amp;TableofContents!$B$22</f>
        <v>DIR - FF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0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2083</v>
      </c>
      <c r="N16" s="247" t="s">
        <v>2028</v>
      </c>
    </row>
    <row r="17" spans="1:14" s="225" customFormat="1" ht="15.75" customHeight="1">
      <c r="A17" s="224"/>
      <c r="B17" s="224"/>
      <c r="C17" s="224" t="s">
        <v>2085</v>
      </c>
      <c r="D17" s="224"/>
      <c r="N17" s="247"/>
    </row>
    <row r="18" spans="1:14" s="225" customFormat="1" ht="15.75" customHeight="1">
      <c r="A18" s="224"/>
      <c r="B18" s="224"/>
      <c r="C18" s="224" t="s">
        <v>2086</v>
      </c>
      <c r="D18" s="224"/>
      <c r="N18" s="247"/>
    </row>
    <row r="19" spans="1:14" s="225" customFormat="1" ht="15.75" customHeight="1">
      <c r="A19" s="224"/>
      <c r="B19" s="224"/>
      <c r="C19" s="224"/>
      <c r="N19" s="247"/>
    </row>
    <row r="20" spans="1:14" s="225" customFormat="1" ht="15.75" customHeight="1">
      <c r="A20" s="224"/>
      <c r="B20" s="224" t="s">
        <v>1069</v>
      </c>
      <c r="C20" s="224" t="s">
        <v>2084</v>
      </c>
      <c r="N20" s="247" t="s">
        <v>2002</v>
      </c>
    </row>
    <row r="21" spans="1:14" s="225" customFormat="1" ht="15.75" customHeight="1">
      <c r="C21" s="225" t="s">
        <v>2078</v>
      </c>
      <c r="D21" s="471"/>
      <c r="E21" s="226"/>
      <c r="F21" s="226"/>
      <c r="G21" s="226"/>
      <c r="H21" s="226"/>
      <c r="I21" s="226"/>
      <c r="J21" s="226"/>
      <c r="K21" s="226"/>
      <c r="L21" s="226"/>
      <c r="M21" s="226"/>
      <c r="N21" s="493"/>
    </row>
    <row r="22" spans="1:14" s="225" customFormat="1" ht="15.75" customHeight="1">
      <c r="D22" s="471"/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B23" s="224" t="s">
        <v>2044</v>
      </c>
      <c r="C23" s="224" t="s">
        <v>2087</v>
      </c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 t="s">
        <v>1309</v>
      </c>
    </row>
    <row r="24" spans="1:14" s="225" customFormat="1" ht="15.75" customHeight="1">
      <c r="C24" s="225" t="s">
        <v>2079</v>
      </c>
      <c r="D24" s="492"/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D25" s="492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B26" s="224" t="s">
        <v>2051</v>
      </c>
      <c r="C26" s="224" t="s">
        <v>2088</v>
      </c>
      <c r="D26" s="471"/>
      <c r="E26" s="226"/>
      <c r="F26" s="226"/>
      <c r="G26" s="226"/>
      <c r="H26" s="226"/>
      <c r="I26" s="226"/>
      <c r="J26" s="226"/>
      <c r="K26" s="226"/>
      <c r="L26" s="226"/>
      <c r="M26" s="226"/>
      <c r="N26" s="493" t="s">
        <v>2080</v>
      </c>
    </row>
    <row r="27" spans="1:14" s="225" customFormat="1" ht="15.75" customHeight="1">
      <c r="A27" s="224"/>
      <c r="B27" s="224"/>
      <c r="C27" s="224" t="s">
        <v>2089</v>
      </c>
      <c r="D27" s="224"/>
      <c r="N27" s="247"/>
    </row>
    <row r="28" spans="1:14" s="225" customFormat="1" ht="15.75" customHeight="1">
      <c r="A28" s="224"/>
      <c r="B28" s="224"/>
      <c r="C28" s="224"/>
      <c r="D28" s="224"/>
      <c r="N28" s="247"/>
    </row>
    <row r="29" spans="1:14" s="225" customFormat="1" ht="15.75" customHeight="1">
      <c r="A29" s="224"/>
      <c r="B29" s="224" t="s">
        <v>2055</v>
      </c>
      <c r="C29" s="224" t="s">
        <v>2090</v>
      </c>
      <c r="D29" s="224"/>
      <c r="N29" s="247" t="s">
        <v>2002</v>
      </c>
    </row>
    <row r="30" spans="1:14" s="225" customFormat="1" ht="15.75" customHeight="1">
      <c r="A30" s="224"/>
      <c r="B30" s="224"/>
      <c r="C30" s="224"/>
      <c r="D30" s="472"/>
      <c r="N30" s="247"/>
    </row>
    <row r="31" spans="1:14" s="225" customFormat="1" ht="15.75" customHeight="1">
      <c r="A31" s="224"/>
      <c r="B31" s="224" t="s">
        <v>2061</v>
      </c>
      <c r="C31" s="224" t="s">
        <v>2091</v>
      </c>
      <c r="D31" s="224"/>
      <c r="N31" s="247" t="s">
        <v>1307</v>
      </c>
    </row>
    <row r="32" spans="1:14" s="225" customFormat="1" ht="15.75" customHeight="1">
      <c r="A32" s="224"/>
      <c r="B32" s="224"/>
      <c r="C32" s="224"/>
      <c r="D32" s="224"/>
      <c r="N32" s="247"/>
    </row>
    <row r="33" spans="1:14" s="225" customFormat="1" ht="15.75" customHeight="1">
      <c r="A33" s="224"/>
      <c r="B33" s="224" t="s">
        <v>2070</v>
      </c>
      <c r="C33" s="224" t="s">
        <v>2092</v>
      </c>
      <c r="D33" s="472"/>
      <c r="N33" s="247" t="s">
        <v>2002</v>
      </c>
    </row>
    <row r="34" spans="1:14" s="225" customFormat="1" ht="15.75" customHeight="1">
      <c r="A34" s="224"/>
      <c r="B34" s="224"/>
      <c r="C34" s="224"/>
      <c r="D34" s="472"/>
      <c r="N34" s="247"/>
    </row>
    <row r="35" spans="1:14" s="225" customFormat="1" ht="15.75" customHeight="1">
      <c r="A35" s="224"/>
      <c r="B35" s="224" t="s">
        <v>2076</v>
      </c>
      <c r="C35" s="224" t="s">
        <v>2093</v>
      </c>
      <c r="D35" s="472"/>
      <c r="N35" s="247" t="s">
        <v>1313</v>
      </c>
    </row>
    <row r="36" spans="1:14" s="225" customFormat="1" ht="15.75" customHeight="1">
      <c r="A36" s="224"/>
      <c r="B36" s="224"/>
      <c r="C36" s="224" t="s">
        <v>2094</v>
      </c>
      <c r="D36" s="472"/>
      <c r="N36" s="247"/>
    </row>
    <row r="37" spans="1:14" s="225" customFormat="1" ht="15.75" customHeight="1">
      <c r="A37" s="224"/>
      <c r="B37" s="224"/>
      <c r="C37" s="224" t="s">
        <v>2095</v>
      </c>
      <c r="D37" s="472"/>
      <c r="N37" s="247"/>
    </row>
    <row r="38" spans="1:14" s="225" customFormat="1" ht="15.75" customHeight="1">
      <c r="A38" s="224"/>
      <c r="B38" s="224"/>
      <c r="C38" s="224"/>
      <c r="D38" s="472"/>
      <c r="N38" s="247"/>
    </row>
    <row r="39" spans="1:14" s="225" customFormat="1" ht="15.75" customHeight="1">
      <c r="A39" s="224"/>
      <c r="B39" s="224" t="s">
        <v>2096</v>
      </c>
      <c r="C39" s="224" t="s">
        <v>2097</v>
      </c>
      <c r="D39" s="472"/>
      <c r="N39" s="247" t="s">
        <v>1310</v>
      </c>
    </row>
    <row r="40" spans="1:14" s="225" customFormat="1" ht="15.75" customHeight="1">
      <c r="A40" s="224"/>
      <c r="B40" s="224"/>
      <c r="C40" s="224" t="s">
        <v>2098</v>
      </c>
      <c r="D40" s="472"/>
      <c r="N40" s="247"/>
    </row>
    <row r="41" spans="1:14" s="225" customFormat="1" ht="15.75" customHeight="1">
      <c r="A41" s="224"/>
      <c r="B41" s="224"/>
      <c r="C41" s="224" t="s">
        <v>2099</v>
      </c>
      <c r="D41" s="224"/>
      <c r="N41" s="247"/>
    </row>
    <row r="42" spans="1:14" s="225" customFormat="1" ht="15.75" customHeight="1">
      <c r="A42" s="224"/>
      <c r="B42" s="224"/>
      <c r="C42" s="224"/>
      <c r="D42" s="224"/>
      <c r="N42" s="247"/>
    </row>
    <row r="43" spans="1:14" s="225" customFormat="1" ht="15.75" customHeight="1">
      <c r="A43" s="224"/>
      <c r="B43" s="224" t="s">
        <v>2100</v>
      </c>
      <c r="C43" s="472" t="s">
        <v>2101</v>
      </c>
      <c r="D43" s="472"/>
      <c r="N43" s="247" t="s">
        <v>1310</v>
      </c>
    </row>
    <row r="44" spans="1:14" s="225" customFormat="1" ht="15.75" customHeight="1">
      <c r="A44" s="224"/>
      <c r="B44" s="224"/>
      <c r="C44" s="224"/>
      <c r="D44" s="472"/>
      <c r="N44" s="247"/>
    </row>
    <row r="45" spans="1:14" s="225" customFormat="1" ht="15.75" customHeight="1">
      <c r="A45" s="224"/>
      <c r="B45" s="224" t="s">
        <v>2102</v>
      </c>
      <c r="C45" s="224" t="s">
        <v>2103</v>
      </c>
      <c r="D45" s="472"/>
      <c r="N45" s="247" t="s">
        <v>1429</v>
      </c>
    </row>
    <row r="46" spans="1:14" s="225" customFormat="1" ht="15.75" customHeight="1">
      <c r="A46" s="224"/>
      <c r="B46" s="224"/>
      <c r="C46" s="224" t="s">
        <v>2081</v>
      </c>
      <c r="D46" s="472"/>
      <c r="N46" s="247"/>
    </row>
    <row r="47" spans="1:14" s="225" customFormat="1" ht="15.75" customHeight="1">
      <c r="A47" s="224"/>
      <c r="B47" s="224"/>
      <c r="C47" s="224"/>
      <c r="D47" s="472"/>
      <c r="N47" s="247"/>
    </row>
    <row r="48" spans="1:14" s="225" customFormat="1" ht="15.75" customHeight="1">
      <c r="A48" s="224"/>
      <c r="B48" s="224" t="s">
        <v>2104</v>
      </c>
      <c r="C48" s="224" t="s">
        <v>2105</v>
      </c>
      <c r="D48" s="472"/>
      <c r="N48" s="247" t="s">
        <v>2082</v>
      </c>
    </row>
    <row r="49" spans="1:14" s="225" customFormat="1" ht="15.75" customHeight="1">
      <c r="A49" s="224"/>
      <c r="B49" s="224"/>
      <c r="C49" s="472" t="s">
        <v>2106</v>
      </c>
      <c r="D49" s="472"/>
      <c r="N49" s="247"/>
    </row>
    <row r="50" spans="1:14" s="225" customFormat="1" ht="15.75" customHeight="1">
      <c r="A50" s="224"/>
      <c r="B50" s="224"/>
      <c r="C50" s="472" t="s">
        <v>2107</v>
      </c>
      <c r="D50" s="472"/>
      <c r="N50" s="247"/>
    </row>
    <row r="51" spans="1:14" s="225" customFormat="1" ht="15.75" customHeight="1">
      <c r="A51" s="224"/>
      <c r="B51" s="224"/>
      <c r="C51" s="472" t="s">
        <v>2108</v>
      </c>
      <c r="D51" s="472"/>
      <c r="N51" s="247"/>
    </row>
    <row r="52" spans="1:14" s="225" customFormat="1" ht="15.75" customHeight="1">
      <c r="C52" s="224" t="s">
        <v>2109</v>
      </c>
      <c r="D52" s="224"/>
      <c r="N52" s="247"/>
    </row>
    <row r="53" spans="1:14" s="225" customFormat="1" ht="15.75" customHeight="1">
      <c r="B53" s="253"/>
      <c r="C53" s="472" t="s">
        <v>2110</v>
      </c>
      <c r="D53" s="224"/>
      <c r="N53" s="247"/>
    </row>
    <row r="54" spans="1:14" s="225" customFormat="1" ht="15.75" customHeight="1">
      <c r="C54" s="224" t="s">
        <v>2111</v>
      </c>
      <c r="D54" s="472"/>
      <c r="N54" s="247"/>
    </row>
    <row r="55" spans="1:14" s="225" customFormat="1" ht="15.75" customHeight="1">
      <c r="C55" s="224" t="s">
        <v>2112</v>
      </c>
      <c r="D55" s="472"/>
      <c r="N55" s="247" t="s">
        <v>2032</v>
      </c>
    </row>
    <row r="56" spans="1:14" s="225" customFormat="1" ht="15.75" customHeight="1">
      <c r="B56" s="224"/>
      <c r="C56" s="472" t="s">
        <v>2113</v>
      </c>
      <c r="D56" s="472"/>
      <c r="N56" s="247"/>
    </row>
    <row r="57" spans="1:14" s="225" customFormat="1" ht="15.75" customHeight="1">
      <c r="C57" s="224"/>
      <c r="D57" s="472"/>
      <c r="N57" s="247"/>
    </row>
    <row r="58" spans="1:14" s="225" customFormat="1" ht="15.75" customHeight="1">
      <c r="B58" s="224" t="s">
        <v>2114</v>
      </c>
      <c r="C58" s="224" t="s">
        <v>2115</v>
      </c>
      <c r="D58" s="472"/>
      <c r="N58" s="247" t="s">
        <v>1311</v>
      </c>
    </row>
    <row r="59" spans="1:14" s="225" customFormat="1" ht="15.75" customHeight="1">
      <c r="B59" s="224"/>
      <c r="C59" s="472" t="s">
        <v>2116</v>
      </c>
      <c r="D59" s="472"/>
      <c r="N59" s="247"/>
    </row>
    <row r="60" spans="1:14" s="225" customFormat="1" ht="15.75" customHeight="1">
      <c r="C60" s="225" t="s">
        <v>2117</v>
      </c>
      <c r="D60" s="472"/>
      <c r="N60" s="247"/>
    </row>
    <row r="61" spans="1:14" s="225" customFormat="1" ht="15.75" customHeight="1">
      <c r="C61" s="225" t="s">
        <v>2118</v>
      </c>
      <c r="D61" s="472"/>
      <c r="N61" s="247"/>
    </row>
    <row r="62" spans="1:14" s="225" customFormat="1" ht="15.75" customHeight="1">
      <c r="C62" s="225" t="s">
        <v>2119</v>
      </c>
      <c r="D62" s="472"/>
      <c r="N62" s="247"/>
    </row>
    <row r="63" spans="1:14" s="225" customFormat="1" ht="15.75" customHeight="1">
      <c r="D63" s="472"/>
      <c r="N63" s="247"/>
    </row>
    <row r="64" spans="1:14" s="225" customFormat="1" ht="15.75" customHeight="1">
      <c r="B64" s="224" t="s">
        <v>2120</v>
      </c>
      <c r="C64" s="224" t="s">
        <v>2077</v>
      </c>
      <c r="D64" s="472"/>
      <c r="N64" s="247"/>
    </row>
    <row r="65" spans="1:14" s="225" customFormat="1" ht="15.75" customHeight="1">
      <c r="D65" s="472"/>
      <c r="N65" s="247"/>
    </row>
    <row r="66" spans="1:14" s="225" customFormat="1" ht="15.75" customHeight="1">
      <c r="C66" s="224"/>
      <c r="D66" s="472"/>
    </row>
    <row r="67" spans="1:14" s="225" customFormat="1" ht="15.75" customHeight="1">
      <c r="D67" s="472"/>
    </row>
    <row r="68" spans="1:14" s="229" customFormat="1" ht="15.75" customHeight="1">
      <c r="A68" s="253"/>
      <c r="B68" s="253"/>
      <c r="C68" s="224"/>
      <c r="D68" s="224"/>
      <c r="E68" s="225"/>
      <c r="F68" s="225"/>
      <c r="G68" s="225"/>
      <c r="H68" s="225"/>
      <c r="I68" s="225"/>
      <c r="J68" s="225"/>
      <c r="K68" s="225"/>
      <c r="L68" s="225"/>
    </row>
    <row r="69" spans="1:14" s="225" customFormat="1" ht="15.75" customHeight="1">
      <c r="A69" s="264"/>
      <c r="B69" s="224"/>
      <c r="C69" s="224"/>
      <c r="D69" s="224"/>
    </row>
    <row r="70" spans="1:14" s="225" customFormat="1" ht="15.75" customHeight="1">
      <c r="A70" s="264"/>
      <c r="B70" s="264"/>
    </row>
    <row r="71" spans="1:14" s="225" customFormat="1" ht="15.75" customHeight="1">
      <c r="A71" s="264"/>
      <c r="B71" s="264"/>
      <c r="C71" s="224"/>
      <c r="D71" s="224"/>
    </row>
    <row r="72" spans="1:14" s="225" customFormat="1" ht="15.75" customHeight="1">
      <c r="A72" s="264"/>
      <c r="B72" s="264"/>
      <c r="D72" s="224"/>
    </row>
    <row r="73" spans="1:14" s="225" customFormat="1" ht="15.75" customHeight="1">
      <c r="A73" s="264"/>
      <c r="B73" s="264"/>
    </row>
    <row r="74" spans="1:14" s="225" customFormat="1" ht="15.75" customHeight="1">
      <c r="A74" s="264"/>
      <c r="B74" s="264"/>
      <c r="C74" s="224"/>
      <c r="D74" s="224"/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64"/>
      <c r="C76" s="224"/>
      <c r="D76" s="224"/>
    </row>
    <row r="77" spans="1:14" s="225" customFormat="1" ht="15.75" customHeight="1">
      <c r="A77" s="264"/>
      <c r="B77" s="264"/>
    </row>
    <row r="78" spans="1:14" s="225" customFormat="1" ht="15.75" customHeight="1">
      <c r="A78" s="264"/>
      <c r="B78" s="253"/>
      <c r="N78" s="247"/>
    </row>
    <row r="79" spans="1:14" s="225" customFormat="1" ht="15.75" customHeight="1">
      <c r="A79" s="264"/>
      <c r="B79" s="264"/>
    </row>
    <row r="80" spans="1:14" s="225" customFormat="1" ht="15.75" customHeight="1">
      <c r="A80" s="264"/>
      <c r="B80" s="253"/>
      <c r="C80" s="224"/>
      <c r="N80" s="247"/>
    </row>
    <row r="81" spans="1:14" s="225" customFormat="1" ht="15.75" customHeight="1">
      <c r="A81" s="264"/>
      <c r="B81" s="264"/>
    </row>
    <row r="82" spans="1:14" s="225" customFormat="1" ht="15.75" customHeight="1">
      <c r="A82" s="264"/>
      <c r="B82" s="253"/>
      <c r="C82" s="224"/>
      <c r="N82" s="247"/>
    </row>
    <row r="83" spans="1:14" s="225" customFormat="1" ht="15.75" customHeight="1">
      <c r="A83" s="264"/>
      <c r="B83" s="264"/>
      <c r="D83" s="224"/>
    </row>
    <row r="84" spans="1:14" s="225" customFormat="1" ht="15.75" customHeight="1">
      <c r="A84" s="264"/>
      <c r="B84" s="264"/>
      <c r="D84" s="224"/>
    </row>
    <row r="85" spans="1:14" s="225" customFormat="1" ht="15.75" customHeight="1">
      <c r="A85" s="264"/>
      <c r="B85" s="264"/>
    </row>
    <row r="86" spans="1:14" s="225" customFormat="1" ht="15.75" customHeight="1">
      <c r="A86" s="264"/>
      <c r="B86" s="253"/>
      <c r="C86" s="224"/>
      <c r="N86" s="247"/>
    </row>
    <row r="87" spans="1:14" s="225" customFormat="1" ht="15.75" customHeight="1">
      <c r="A87" s="264"/>
      <c r="B87" s="264"/>
    </row>
    <row r="88" spans="1:14" s="225" customFormat="1" ht="15.75" customHeight="1">
      <c r="B88" s="224"/>
      <c r="C88" s="224"/>
      <c r="N88" s="247"/>
    </row>
    <row r="89" spans="1:14" s="225" customFormat="1" ht="15.75" customHeight="1"/>
    <row r="90" spans="1:14" s="225" customFormat="1" ht="15.75" customHeight="1">
      <c r="B90" s="224"/>
      <c r="C90" s="224"/>
      <c r="N90" s="247"/>
    </row>
    <row r="91" spans="1:14" s="225" customFormat="1" ht="15.75" customHeight="1"/>
    <row r="92" spans="1:14" s="225" customFormat="1" ht="15.75" customHeight="1">
      <c r="B92" s="224"/>
      <c r="C92" s="227"/>
      <c r="N92" s="252"/>
    </row>
    <row r="93" spans="1:14" s="225" customFormat="1" ht="15.75" customHeight="1">
      <c r="D93" s="223"/>
    </row>
    <row r="94" spans="1:14" s="225" customFormat="1" ht="15.75" customHeight="1">
      <c r="D94" s="223"/>
    </row>
    <row r="95" spans="1:14" s="225" customFormat="1" ht="15.75" customHeight="1">
      <c r="D95" s="223"/>
    </row>
    <row r="96" spans="1:14" s="225" customFormat="1" ht="15.75" customHeight="1"/>
    <row r="97" spans="2:3" s="225" customFormat="1" ht="15.75" customHeight="1">
      <c r="B97" s="224"/>
      <c r="C97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33">
    <tabColor rgb="FF00B050"/>
  </sheetPr>
  <dimension ref="A1:K42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240</v>
      </c>
      <c r="G1" s="1272"/>
      <c r="H1" s="1273" t="s">
        <v>241</v>
      </c>
      <c r="I1" s="1273"/>
      <c r="J1" s="374" t="s">
        <v>242</v>
      </c>
    </row>
    <row r="2" spans="1:11" ht="15.75" customHeight="1">
      <c r="A2" s="371" t="str">
        <f>TableofContents!$D$22</f>
        <v>제충당부채, 기타의 비유동부채</v>
      </c>
      <c r="B2" s="372"/>
      <c r="C2" s="372"/>
      <c r="D2" s="372"/>
      <c r="E2" s="372"/>
      <c r="F2" s="1274" t="str">
        <f>TableofContents!$B$22</f>
        <v>FF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30"/>
      <c r="B7" s="231" t="str">
        <f>FS_worksheet!C91</f>
        <v xml:space="preserve">      임  대  보  증  금</v>
      </c>
      <c r="C7" s="230"/>
      <c r="D7" s="230">
        <f>VLOOKUP($B7,FS_worksheet!$C$11:$H$116,3,FALSE)</f>
        <v>160000000</v>
      </c>
      <c r="E7" s="230"/>
      <c r="F7" s="230">
        <f>H7+J7-D7</f>
        <v>0</v>
      </c>
      <c r="G7" s="232"/>
      <c r="H7" s="230"/>
      <c r="I7" s="230"/>
      <c r="J7" s="230">
        <f>VLOOKUP($B7,FS_worksheet!$C$11:$H$116,5,FALSE)</f>
        <v>160000000</v>
      </c>
      <c r="K7" s="233"/>
    </row>
    <row r="8" spans="1:11" ht="15.75" customHeight="1">
      <c r="A8" s="233"/>
      <c r="B8" s="234"/>
      <c r="C8" s="233"/>
      <c r="D8" s="233" t="e">
        <f>VLOOKUP($B8,FS_worksheet!$C$11:$H$116,3,FALSE)</f>
        <v>#N/A</v>
      </c>
      <c r="E8" s="233"/>
      <c r="F8" s="233" t="e">
        <f>H8+J8-D8</f>
        <v>#N/A</v>
      </c>
      <c r="G8" s="235"/>
      <c r="H8" s="233"/>
      <c r="I8" s="233"/>
      <c r="J8" s="233" t="e">
        <f>VLOOKUP($B8,FS_worksheet!$C$11:$H$116,5,FALSE)</f>
        <v>#N/A</v>
      </c>
    </row>
    <row r="9" spans="1:11" ht="15.75" customHeight="1">
      <c r="A9" s="230"/>
      <c r="B9" s="231"/>
      <c r="C9" s="230"/>
      <c r="D9" s="230" t="e">
        <f>VLOOKUP($B9,FS_worksheet!$C$11:$H$116,3,FALSE)</f>
        <v>#N/A</v>
      </c>
      <c r="E9" s="230"/>
      <c r="F9" s="230" t="e">
        <f>H9+J9-D9</f>
        <v>#N/A</v>
      </c>
      <c r="G9" s="232"/>
      <c r="H9" s="230"/>
      <c r="I9" s="230"/>
      <c r="J9" s="230" t="e">
        <f>VLOOKUP($B9,FS_worksheet!$C$11:$H$116,5,FALSE)</f>
        <v>#N/A</v>
      </c>
    </row>
    <row r="10" spans="1:11" ht="15.75" customHeight="1">
      <c r="A10" s="233"/>
      <c r="B10" s="234"/>
      <c r="C10" s="233"/>
      <c r="D10" s="233" t="e">
        <f>VLOOKUP($B10,FS_worksheet!$C$11:$H$116,3,FALSE)</f>
        <v>#N/A</v>
      </c>
      <c r="E10" s="233"/>
      <c r="F10" s="233" t="e">
        <f>H10+J10-D10</f>
        <v>#N/A</v>
      </c>
      <c r="G10" s="235"/>
      <c r="H10" s="233"/>
      <c r="I10" s="233"/>
      <c r="J10" s="233" t="e">
        <f>VLOOKUP($B10,FS_worksheet!$C$11:$H$116,5,FALSE)</f>
        <v>#N/A</v>
      </c>
    </row>
    <row r="11" spans="1:11" ht="15.75" customHeight="1">
      <c r="A11" s="233"/>
      <c r="B11" s="233"/>
      <c r="C11" s="233"/>
      <c r="D11" s="233"/>
      <c r="E11" s="233"/>
      <c r="F11" s="233"/>
      <c r="G11" s="235"/>
      <c r="H11" s="233"/>
      <c r="I11" s="233"/>
      <c r="J11" s="233"/>
    </row>
    <row r="13" spans="1:11" ht="15.75" customHeight="1">
      <c r="A13" s="222" t="s">
        <v>244</v>
      </c>
    </row>
    <row r="14" spans="1:11" ht="15.75" customHeight="1">
      <c r="A14" s="253" t="s">
        <v>247</v>
      </c>
      <c r="B14" s="223" t="s">
        <v>911</v>
      </c>
    </row>
    <row r="15" spans="1:11" ht="15.75" customHeight="1">
      <c r="A15" s="253" t="s">
        <v>34</v>
      </c>
      <c r="B15" s="223" t="s">
        <v>252</v>
      </c>
    </row>
    <row r="16" spans="1:11" ht="15.75" customHeight="1">
      <c r="A16" s="253" t="s">
        <v>35</v>
      </c>
      <c r="B16" s="223" t="s">
        <v>912</v>
      </c>
    </row>
    <row r="17" spans="1:2" ht="15.75" customHeight="1">
      <c r="A17" s="253" t="s">
        <v>36</v>
      </c>
      <c r="B17" s="223" t="s">
        <v>810</v>
      </c>
    </row>
    <row r="20" spans="1:2" ht="15.75" customHeight="1">
      <c r="A20" s="222" t="s">
        <v>246</v>
      </c>
    </row>
    <row r="21" spans="1:2" ht="15.75" customHeight="1">
      <c r="A21" s="253" t="s">
        <v>247</v>
      </c>
      <c r="B21" s="223" t="s">
        <v>913</v>
      </c>
    </row>
    <row r="22" spans="1:2" ht="15.75" customHeight="1">
      <c r="A22" s="253" t="s">
        <v>34</v>
      </c>
      <c r="B22" s="223" t="s">
        <v>914</v>
      </c>
    </row>
    <row r="23" spans="1:2" ht="15.75" customHeight="1">
      <c r="A23" s="253" t="s">
        <v>35</v>
      </c>
      <c r="B23" s="223" t="s">
        <v>915</v>
      </c>
    </row>
    <row r="24" spans="1:2" ht="15.75" customHeight="1">
      <c r="A24" s="253" t="s">
        <v>36</v>
      </c>
      <c r="B24" s="223" t="s">
        <v>916</v>
      </c>
    </row>
    <row r="25" spans="1:2" ht="15.75" customHeight="1">
      <c r="A25" s="253" t="s">
        <v>39</v>
      </c>
      <c r="B25" s="223" t="s">
        <v>917</v>
      </c>
    </row>
    <row r="26" spans="1:2" ht="15.75" customHeight="1">
      <c r="A26" s="253" t="s">
        <v>43</v>
      </c>
      <c r="B26" s="223" t="s">
        <v>787</v>
      </c>
    </row>
    <row r="27" spans="1:2" s="225" customFormat="1" ht="15.75" customHeight="1">
      <c r="A27" s="253" t="s">
        <v>44</v>
      </c>
      <c r="B27" s="223" t="s">
        <v>918</v>
      </c>
    </row>
    <row r="28" spans="1:2" s="225" customFormat="1" ht="15.75" customHeight="1">
      <c r="B28" s="223" t="s">
        <v>919</v>
      </c>
    </row>
    <row r="29" spans="1:2" s="225" customFormat="1" ht="15.75" customHeight="1">
      <c r="B29" s="223" t="s">
        <v>920</v>
      </c>
    </row>
    <row r="30" spans="1:2" s="225" customFormat="1" ht="15.75" customHeight="1">
      <c r="B30" s="223" t="s">
        <v>921</v>
      </c>
    </row>
    <row r="31" spans="1:2" s="225" customFormat="1" ht="15.75" customHeight="1">
      <c r="B31" s="223" t="s">
        <v>922</v>
      </c>
    </row>
    <row r="32" spans="1:2" s="225" customFormat="1" ht="15.75" customHeight="1">
      <c r="B32" s="223" t="s">
        <v>923</v>
      </c>
    </row>
    <row r="33" spans="1:6" s="225" customFormat="1" ht="15.75" customHeight="1">
      <c r="B33" s="223" t="s">
        <v>924</v>
      </c>
    </row>
    <row r="34" spans="1:6" s="225" customFormat="1" ht="15.75" customHeight="1">
      <c r="B34" s="223" t="s">
        <v>925</v>
      </c>
    </row>
    <row r="35" spans="1:6" ht="15.75" customHeight="1">
      <c r="B35" s="223" t="s">
        <v>253</v>
      </c>
    </row>
    <row r="37" spans="1:6" s="225" customFormat="1" ht="15.75" customHeight="1">
      <c r="A37" s="228" t="s">
        <v>248</v>
      </c>
    </row>
    <row r="38" spans="1:6" s="225" customFormat="1" ht="15.75" customHeight="1"/>
    <row r="39" spans="1:6" s="225" customFormat="1" ht="15.75" customHeight="1"/>
    <row r="40" spans="1:6" s="225" customFormat="1" ht="15.75" customHeight="1">
      <c r="A40" s="228" t="s">
        <v>762</v>
      </c>
    </row>
    <row r="41" spans="1:6" ht="15.75" customHeight="1">
      <c r="A41" s="253" t="s">
        <v>761</v>
      </c>
      <c r="B41" s="225"/>
      <c r="C41" s="225"/>
      <c r="D41" s="225"/>
      <c r="E41" s="225"/>
      <c r="F41" s="225"/>
    </row>
    <row r="42" spans="1:6" ht="15.75" customHeight="1">
      <c r="A42" s="264"/>
      <c r="B42" s="225" t="s">
        <v>754</v>
      </c>
      <c r="C42" s="225"/>
      <c r="D42" s="225"/>
      <c r="E42" s="225"/>
      <c r="F42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34">
    <tabColor rgb="FF00B050"/>
  </sheetPr>
  <dimension ref="A1:F49"/>
  <sheetViews>
    <sheetView workbookViewId="0">
      <selection activeCell="F6" sqref="F6"/>
    </sheetView>
  </sheetViews>
  <sheetFormatPr defaultRowHeight="15.75" customHeight="1"/>
  <cols>
    <col min="1" max="1" width="2.625" style="223" customWidth="1"/>
    <col min="2" max="2" width="23.125" style="223" customWidth="1"/>
    <col min="3" max="3" width="15.625" style="223" customWidth="1"/>
    <col min="4" max="4" width="23.125" style="223" customWidth="1"/>
    <col min="5" max="6" width="15.625" style="223" customWidth="1"/>
    <col min="7" max="7" width="2.25" style="223" customWidth="1"/>
    <col min="8" max="8" width="13.375" style="223" customWidth="1"/>
    <col min="9" max="9" width="2.125" style="223" customWidth="1"/>
    <col min="10" max="10" width="13.125" style="223" customWidth="1"/>
    <col min="11" max="11" width="2.5" style="223" customWidth="1"/>
    <col min="12" max="12" width="14.25" style="223" customWidth="1"/>
    <col min="13" max="16384" width="9" style="223"/>
  </cols>
  <sheetData>
    <row r="1" spans="1:6" ht="15.75" customHeight="1">
      <c r="A1" s="371" t="str">
        <f>기본사항!$C$2</f>
        <v>(재)한국여성재단</v>
      </c>
      <c r="B1" s="372"/>
      <c r="C1" s="372"/>
      <c r="D1" s="373" t="s">
        <v>240</v>
      </c>
      <c r="E1" s="374" t="s">
        <v>241</v>
      </c>
      <c r="F1" s="374" t="s">
        <v>242</v>
      </c>
    </row>
    <row r="2" spans="1:6" ht="15.75" customHeight="1">
      <c r="A2" s="371" t="str">
        <f>TableofContents!$D$23</f>
        <v>부외부채</v>
      </c>
      <c r="B2" s="372"/>
      <c r="C2" s="372"/>
      <c r="D2" s="1274" t="str">
        <f>TableofContents!$B$23</f>
        <v>TUL</v>
      </c>
      <c r="E2" s="1198">
        <f>기본사항!$C$14</f>
        <v>40563</v>
      </c>
      <c r="F2" s="1276" t="str">
        <f>기본사항!$C$17</f>
        <v>Kbj</v>
      </c>
    </row>
    <row r="3" spans="1:6" ht="15.75" customHeight="1">
      <c r="A3" s="375" t="str">
        <f>기본사항!$C$9</f>
        <v>A : 12-31-2011</v>
      </c>
      <c r="B3" s="372"/>
      <c r="C3" s="372"/>
      <c r="D3" s="1257"/>
      <c r="E3" s="1198"/>
      <c r="F3" s="1264"/>
    </row>
    <row r="5" spans="1:6" ht="15.75" customHeight="1">
      <c r="A5" s="227" t="s">
        <v>245</v>
      </c>
      <c r="B5" s="223" t="s">
        <v>316</v>
      </c>
    </row>
    <row r="6" spans="1:6" ht="15.75" customHeight="1">
      <c r="B6" s="223" t="s">
        <v>317</v>
      </c>
    </row>
    <row r="7" spans="1:6" ht="15.75" customHeight="1">
      <c r="B7" s="376" t="s">
        <v>318</v>
      </c>
      <c r="C7" s="377" t="s">
        <v>319</v>
      </c>
      <c r="D7" s="377" t="s">
        <v>318</v>
      </c>
      <c r="E7" s="378" t="s">
        <v>319</v>
      </c>
    </row>
    <row r="8" spans="1:6" ht="15.75" customHeight="1">
      <c r="B8" s="376" t="s">
        <v>320</v>
      </c>
      <c r="C8" s="377"/>
      <c r="D8" s="377" t="s">
        <v>321</v>
      </c>
      <c r="E8" s="378"/>
    </row>
    <row r="9" spans="1:6" ht="15.75" customHeight="1">
      <c r="B9" s="376" t="s">
        <v>322</v>
      </c>
      <c r="C9" s="377"/>
      <c r="D9" s="377" t="s">
        <v>323</v>
      </c>
      <c r="E9" s="378"/>
    </row>
    <row r="10" spans="1:6" ht="15.75" customHeight="1">
      <c r="B10" s="376" t="s">
        <v>324</v>
      </c>
      <c r="C10" s="377"/>
      <c r="D10" s="377" t="s">
        <v>325</v>
      </c>
      <c r="E10" s="378"/>
    </row>
    <row r="11" spans="1:6" ht="15.75" customHeight="1">
      <c r="B11" s="376" t="s">
        <v>326</v>
      </c>
      <c r="C11" s="377"/>
      <c r="D11" s="377" t="s">
        <v>327</v>
      </c>
      <c r="E11" s="378"/>
    </row>
    <row r="12" spans="1:6" ht="15.75" customHeight="1">
      <c r="B12" s="223" t="s">
        <v>328</v>
      </c>
    </row>
    <row r="13" spans="1:6" ht="15.75" customHeight="1">
      <c r="B13" s="223" t="s">
        <v>329</v>
      </c>
    </row>
    <row r="14" spans="1:6" ht="15.75" customHeight="1">
      <c r="B14" s="223" t="s">
        <v>330</v>
      </c>
    </row>
    <row r="15" spans="1:6" ht="15.75" customHeight="1">
      <c r="B15" s="227" t="s">
        <v>331</v>
      </c>
    </row>
    <row r="16" spans="1:6" ht="15.75" customHeight="1">
      <c r="B16" s="227" t="s">
        <v>332</v>
      </c>
    </row>
    <row r="17" spans="1:2" ht="15.75" customHeight="1">
      <c r="B17" s="227" t="s">
        <v>333</v>
      </c>
    </row>
    <row r="18" spans="1:2" ht="15.75" customHeight="1">
      <c r="B18" s="227" t="s">
        <v>334</v>
      </c>
    </row>
    <row r="19" spans="1:2" ht="15.75" customHeight="1">
      <c r="B19" s="227" t="s">
        <v>335</v>
      </c>
    </row>
    <row r="20" spans="1:2" ht="15.75" customHeight="1">
      <c r="B20" s="227" t="s">
        <v>336</v>
      </c>
    </row>
    <row r="21" spans="1:2" ht="15.75" customHeight="1">
      <c r="B21" s="227" t="s">
        <v>337</v>
      </c>
    </row>
    <row r="22" spans="1:2" s="225" customFormat="1" ht="15.75" customHeight="1"/>
    <row r="23" spans="1:2" s="225" customFormat="1" ht="15.75" customHeight="1">
      <c r="A23" s="224" t="s">
        <v>338</v>
      </c>
      <c r="B23" s="223" t="s">
        <v>339</v>
      </c>
    </row>
    <row r="24" spans="1:2" s="225" customFormat="1" ht="15.75" customHeight="1">
      <c r="B24" s="227" t="s">
        <v>340</v>
      </c>
    </row>
    <row r="25" spans="1:2" s="225" customFormat="1" ht="15.75" customHeight="1">
      <c r="B25" s="227" t="s">
        <v>341</v>
      </c>
    </row>
    <row r="26" spans="1:2" s="225" customFormat="1" ht="15.75" customHeight="1">
      <c r="B26" s="227" t="s">
        <v>342</v>
      </c>
    </row>
    <row r="27" spans="1:2" s="225" customFormat="1" ht="15.75" customHeight="1">
      <c r="B27" s="225" t="s">
        <v>214</v>
      </c>
    </row>
    <row r="28" spans="1:2" ht="15.75" customHeight="1">
      <c r="B28" s="227" t="s">
        <v>343</v>
      </c>
    </row>
    <row r="29" spans="1:2" ht="15.75" customHeight="1">
      <c r="B29" s="223" t="s">
        <v>215</v>
      </c>
    </row>
    <row r="30" spans="1:2" ht="15.75" customHeight="1">
      <c r="B30" s="227" t="s">
        <v>344</v>
      </c>
    </row>
    <row r="31" spans="1:2" ht="15.75" customHeight="1">
      <c r="B31" s="227" t="s">
        <v>345</v>
      </c>
    </row>
    <row r="32" spans="1:2" ht="15.75" customHeight="1">
      <c r="B32" s="227" t="s">
        <v>346</v>
      </c>
    </row>
    <row r="33" spans="1:3" ht="15.75" customHeight="1">
      <c r="B33" s="223" t="s">
        <v>347</v>
      </c>
    </row>
    <row r="34" spans="1:3" ht="15.75" customHeight="1">
      <c r="B34" s="227" t="s">
        <v>348</v>
      </c>
    </row>
    <row r="35" spans="1:3" ht="15.75" customHeight="1">
      <c r="B35" s="227" t="s">
        <v>358</v>
      </c>
    </row>
    <row r="36" spans="1:3" ht="15.75" customHeight="1">
      <c r="B36" s="227" t="s">
        <v>359</v>
      </c>
    </row>
    <row r="37" spans="1:3" ht="15.75" customHeight="1">
      <c r="B37" s="227"/>
    </row>
    <row r="38" spans="1:3" ht="15.75" customHeight="1">
      <c r="A38" s="227" t="s">
        <v>349</v>
      </c>
      <c r="B38" s="227" t="s">
        <v>350</v>
      </c>
    </row>
    <row r="39" spans="1:3" ht="15.75" customHeight="1">
      <c r="B39" s="227"/>
    </row>
    <row r="40" spans="1:3" ht="15.75" customHeight="1">
      <c r="A40" s="227" t="s">
        <v>351</v>
      </c>
      <c r="B40" s="227" t="s">
        <v>352</v>
      </c>
    </row>
    <row r="41" spans="1:3" ht="15.75" customHeight="1">
      <c r="A41" s="227" t="s">
        <v>39</v>
      </c>
      <c r="B41" s="227" t="s">
        <v>353</v>
      </c>
    </row>
    <row r="42" spans="1:3" ht="15.75" customHeight="1">
      <c r="A42" s="227" t="s">
        <v>43</v>
      </c>
      <c r="B42" s="227" t="s">
        <v>354</v>
      </c>
    </row>
    <row r="43" spans="1:3" ht="15.75" customHeight="1">
      <c r="A43" s="227" t="s">
        <v>44</v>
      </c>
      <c r="B43" s="227" t="s">
        <v>355</v>
      </c>
      <c r="C43" s="227"/>
    </row>
    <row r="44" spans="1:3" ht="15.75" customHeight="1">
      <c r="A44" s="227" t="s">
        <v>45</v>
      </c>
      <c r="B44" s="227" t="s">
        <v>356</v>
      </c>
      <c r="C44" s="227"/>
    </row>
    <row r="45" spans="1:3" ht="15.75" customHeight="1">
      <c r="B45" s="227" t="s">
        <v>357</v>
      </c>
      <c r="C45" s="227"/>
    </row>
    <row r="46" spans="1:3" ht="15.75" customHeight="1">
      <c r="B46" s="227" t="s">
        <v>216</v>
      </c>
      <c r="C46" s="227"/>
    </row>
    <row r="47" spans="1:3" ht="15.75" customHeight="1">
      <c r="A47" s="227"/>
      <c r="B47" s="227"/>
    </row>
    <row r="48" spans="1:3" ht="15.75" customHeight="1">
      <c r="A48" s="227"/>
      <c r="B48" s="227"/>
    </row>
    <row r="49" spans="1:1" ht="15.75" customHeight="1">
      <c r="A49" s="227"/>
    </row>
  </sheetData>
  <mergeCells count="3">
    <mergeCell ref="D2:D3"/>
    <mergeCell ref="E2:E3"/>
    <mergeCell ref="F2:F3"/>
  </mergeCells>
  <phoneticPr fontId="3" type="noConversion"/>
  <pageMargins left="0.15748031496062992" right="0.19685039370078741" top="0.3543307086614173" bottom="0.31496062992125984" header="0.27559055118110237" footer="0.19685039370078741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0000"/>
  </sheetPr>
  <dimension ref="A1:P102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TableofContents!$D$24</f>
        <v>자본계정</v>
      </c>
      <c r="B2" s="449"/>
      <c r="C2" s="449"/>
      <c r="D2" s="449"/>
      <c r="E2" s="449"/>
      <c r="F2" s="449"/>
      <c r="G2" s="450"/>
      <c r="H2" s="1255" t="str">
        <f>"DIR - "&amp;TableofContents!$B$24</f>
        <v>DIR - GG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2125</v>
      </c>
      <c r="N16" s="247" t="s">
        <v>1314</v>
      </c>
    </row>
    <row r="17" spans="1:14" s="225" customFormat="1" ht="15.75" customHeight="1">
      <c r="A17" s="224"/>
      <c r="B17" s="224"/>
      <c r="C17" s="224" t="s">
        <v>2121</v>
      </c>
      <c r="D17" s="224"/>
      <c r="N17" s="247"/>
    </row>
    <row r="18" spans="1:14" s="225" customFormat="1" ht="15.75" customHeight="1">
      <c r="A18" s="224"/>
      <c r="B18" s="224"/>
      <c r="C18" s="224"/>
      <c r="D18" s="224"/>
      <c r="N18" s="247"/>
    </row>
    <row r="19" spans="1:14" s="225" customFormat="1" ht="15.75" customHeight="1">
      <c r="A19" s="224"/>
      <c r="B19" s="224" t="s">
        <v>1069</v>
      </c>
      <c r="C19" s="224" t="s">
        <v>2126</v>
      </c>
      <c r="N19" s="247" t="s">
        <v>2002</v>
      </c>
    </row>
    <row r="20" spans="1:14" s="225" customFormat="1" ht="15.75" customHeight="1">
      <c r="A20" s="224"/>
      <c r="B20" s="224"/>
      <c r="C20" s="224" t="s">
        <v>2127</v>
      </c>
      <c r="N20" s="247"/>
    </row>
    <row r="21" spans="1:14" s="225" customFormat="1" ht="15.75" customHeight="1">
      <c r="C21" s="224" t="s">
        <v>2128</v>
      </c>
      <c r="D21" s="471"/>
      <c r="E21" s="226"/>
      <c r="F21" s="226"/>
      <c r="G21" s="226"/>
      <c r="H21" s="226"/>
      <c r="I21" s="226"/>
      <c r="J21" s="226"/>
      <c r="K21" s="226"/>
      <c r="L21" s="226"/>
      <c r="M21" s="226"/>
      <c r="N21" s="493"/>
    </row>
    <row r="22" spans="1:14" s="225" customFormat="1" ht="15.75" customHeight="1">
      <c r="D22" s="471"/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B23" s="224" t="s">
        <v>1070</v>
      </c>
      <c r="C23" s="224" t="s">
        <v>2129</v>
      </c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 t="s">
        <v>1401</v>
      </c>
    </row>
    <row r="24" spans="1:14" s="225" customFormat="1" ht="15.75" customHeight="1">
      <c r="B24" s="224"/>
      <c r="C24" s="472" t="s">
        <v>2143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C25" s="224" t="s">
        <v>2149</v>
      </c>
      <c r="D25" s="492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C26" s="224" t="s">
        <v>2150</v>
      </c>
      <c r="D26" s="492"/>
      <c r="E26" s="226"/>
      <c r="F26" s="226"/>
      <c r="G26" s="226"/>
      <c r="H26" s="226"/>
      <c r="I26" s="226"/>
      <c r="J26" s="226"/>
      <c r="K26" s="226"/>
      <c r="L26" s="226"/>
      <c r="M26" s="226"/>
      <c r="N26" s="493"/>
    </row>
    <row r="27" spans="1:14" s="225" customFormat="1" ht="15.75" customHeight="1">
      <c r="B27" s="224"/>
      <c r="C27" s="472" t="s">
        <v>2151</v>
      </c>
      <c r="D27" s="471"/>
      <c r="E27" s="226"/>
      <c r="F27" s="226"/>
      <c r="G27" s="226"/>
      <c r="H27" s="226"/>
      <c r="I27" s="226"/>
      <c r="J27" s="226"/>
      <c r="K27" s="226"/>
      <c r="L27" s="226"/>
      <c r="M27" s="226"/>
      <c r="N27" s="493"/>
    </row>
    <row r="28" spans="1:14" s="225" customFormat="1" ht="15.75" customHeight="1">
      <c r="A28" s="224"/>
      <c r="B28" s="224"/>
      <c r="C28" s="472" t="s">
        <v>2152</v>
      </c>
      <c r="D28" s="224"/>
      <c r="N28" s="247"/>
    </row>
    <row r="29" spans="1:14" s="225" customFormat="1" ht="15.75" customHeight="1">
      <c r="A29" s="224"/>
      <c r="B29" s="224"/>
      <c r="C29" s="472" t="s">
        <v>2153</v>
      </c>
      <c r="D29" s="224"/>
      <c r="N29" s="247"/>
    </row>
    <row r="30" spans="1:14" s="225" customFormat="1" ht="15.75" customHeight="1">
      <c r="A30" s="224"/>
      <c r="B30" s="224"/>
      <c r="C30" s="224"/>
      <c r="D30" s="224"/>
      <c r="N30" s="247"/>
    </row>
    <row r="31" spans="1:14" s="225" customFormat="1" ht="15.75" customHeight="1">
      <c r="A31" s="224"/>
      <c r="B31" s="224" t="s">
        <v>1076</v>
      </c>
      <c r="C31" s="224" t="s">
        <v>2130</v>
      </c>
      <c r="D31" s="472"/>
      <c r="N31" s="247" t="s">
        <v>1401</v>
      </c>
    </row>
    <row r="32" spans="1:14" s="225" customFormat="1" ht="15.75" customHeight="1">
      <c r="A32" s="224"/>
      <c r="B32" s="224"/>
      <c r="C32" s="224" t="s">
        <v>2144</v>
      </c>
      <c r="D32" s="224"/>
      <c r="N32" s="247"/>
    </row>
    <row r="33" spans="1:14" s="225" customFormat="1" ht="15.75" customHeight="1">
      <c r="A33" s="224"/>
      <c r="B33" s="224"/>
      <c r="C33" s="472" t="s">
        <v>2154</v>
      </c>
      <c r="D33" s="224"/>
      <c r="N33" s="247"/>
    </row>
    <row r="34" spans="1:14" s="225" customFormat="1" ht="15.75" customHeight="1">
      <c r="A34" s="224"/>
      <c r="B34" s="224"/>
      <c r="C34" s="224"/>
      <c r="D34" s="472"/>
      <c r="N34" s="247"/>
    </row>
    <row r="35" spans="1:14" s="225" customFormat="1" ht="15.75" customHeight="1">
      <c r="A35" s="224"/>
      <c r="B35" s="224" t="s">
        <v>1360</v>
      </c>
      <c r="C35" s="224" t="s">
        <v>2142</v>
      </c>
      <c r="D35" s="472"/>
      <c r="N35" s="247" t="s">
        <v>1401</v>
      </c>
    </row>
    <row r="36" spans="1:14" s="225" customFormat="1" ht="15.75" customHeight="1">
      <c r="A36" s="224"/>
      <c r="B36" s="224"/>
      <c r="C36" s="224" t="s">
        <v>2122</v>
      </c>
      <c r="D36" s="472"/>
      <c r="N36" s="247"/>
    </row>
    <row r="37" spans="1:14" s="225" customFormat="1" ht="15.75" customHeight="1">
      <c r="A37" s="224"/>
      <c r="B37" s="224"/>
      <c r="C37" s="224" t="s">
        <v>2145</v>
      </c>
      <c r="D37" s="472"/>
      <c r="N37" s="247"/>
    </row>
    <row r="38" spans="1:14" s="225" customFormat="1" ht="15.75" customHeight="1">
      <c r="A38" s="224"/>
      <c r="B38" s="224"/>
      <c r="C38" s="472" t="s">
        <v>2155</v>
      </c>
      <c r="D38" s="472"/>
      <c r="N38" s="247"/>
    </row>
    <row r="39" spans="1:14" s="225" customFormat="1" ht="15.75" customHeight="1">
      <c r="A39" s="224"/>
      <c r="B39" s="224"/>
      <c r="C39" s="472" t="s">
        <v>2156</v>
      </c>
      <c r="D39" s="472"/>
      <c r="N39" s="247"/>
    </row>
    <row r="40" spans="1:14" s="225" customFormat="1" ht="15.75" customHeight="1">
      <c r="A40" s="224"/>
      <c r="B40" s="224"/>
      <c r="C40" s="224" t="s">
        <v>2141</v>
      </c>
      <c r="D40" s="472"/>
      <c r="N40" s="247"/>
    </row>
    <row r="41" spans="1:14" s="225" customFormat="1" ht="15.75" customHeight="1">
      <c r="A41" s="224"/>
      <c r="B41" s="224"/>
      <c r="C41" s="472" t="s">
        <v>2157</v>
      </c>
      <c r="D41" s="472"/>
      <c r="N41" s="247"/>
    </row>
    <row r="42" spans="1:14" s="225" customFormat="1" ht="15.75" customHeight="1">
      <c r="A42" s="224"/>
      <c r="B42" s="224"/>
      <c r="C42" s="224"/>
      <c r="D42" s="472"/>
      <c r="N42" s="247"/>
    </row>
    <row r="43" spans="1:14" s="225" customFormat="1" ht="15.75" customHeight="1">
      <c r="A43" s="224"/>
      <c r="B43" s="224" t="s">
        <v>1371</v>
      </c>
      <c r="C43" s="224" t="s">
        <v>2135</v>
      </c>
      <c r="D43" s="224"/>
      <c r="N43" s="247" t="s">
        <v>1461</v>
      </c>
    </row>
    <row r="44" spans="1:14" s="225" customFormat="1" ht="15.75" customHeight="1">
      <c r="A44" s="224"/>
      <c r="B44" s="224"/>
      <c r="C44" s="224" t="s">
        <v>2146</v>
      </c>
      <c r="D44" s="224"/>
      <c r="N44" s="247"/>
    </row>
    <row r="45" spans="1:14" s="225" customFormat="1" ht="15.75" customHeight="1">
      <c r="A45" s="224"/>
      <c r="B45" s="224"/>
      <c r="C45" s="472" t="s">
        <v>2158</v>
      </c>
      <c r="D45" s="472"/>
      <c r="N45" s="247"/>
    </row>
    <row r="46" spans="1:14" s="225" customFormat="1" ht="15.75" customHeight="1">
      <c r="A46" s="224"/>
      <c r="B46" s="224"/>
      <c r="C46" s="472" t="s">
        <v>2159</v>
      </c>
      <c r="D46" s="472"/>
      <c r="N46" s="247"/>
    </row>
    <row r="47" spans="1:14" s="225" customFormat="1" ht="15.75" customHeight="1">
      <c r="A47" s="224"/>
      <c r="B47" s="224"/>
      <c r="C47" s="224"/>
      <c r="D47" s="472"/>
      <c r="N47" s="247"/>
    </row>
    <row r="48" spans="1:14" s="225" customFormat="1" ht="15.75" customHeight="1">
      <c r="A48" s="224"/>
      <c r="B48" s="224" t="s">
        <v>1375</v>
      </c>
      <c r="C48" s="224" t="s">
        <v>2136</v>
      </c>
      <c r="D48" s="472"/>
      <c r="N48" s="247" t="s">
        <v>1313</v>
      </c>
    </row>
    <row r="49" spans="1:14" s="225" customFormat="1" ht="15.75" customHeight="1">
      <c r="A49" s="224"/>
      <c r="B49" s="224"/>
      <c r="C49" s="224" t="s">
        <v>2137</v>
      </c>
      <c r="D49" s="472"/>
      <c r="N49" s="247"/>
    </row>
    <row r="50" spans="1:14" s="225" customFormat="1" ht="15.75" customHeight="1">
      <c r="A50" s="224"/>
      <c r="B50" s="224"/>
      <c r="C50" s="224"/>
      <c r="D50" s="472"/>
      <c r="N50" s="247"/>
    </row>
    <row r="51" spans="1:14" s="225" customFormat="1" ht="15.75" customHeight="1">
      <c r="A51" s="224"/>
      <c r="B51" s="224" t="s">
        <v>1376</v>
      </c>
      <c r="C51" s="224" t="s">
        <v>2138</v>
      </c>
      <c r="D51" s="472"/>
      <c r="N51" s="247" t="s">
        <v>2123</v>
      </c>
    </row>
    <row r="52" spans="1:14" s="225" customFormat="1" ht="15.75" customHeight="1">
      <c r="A52" s="224"/>
      <c r="B52" s="224"/>
      <c r="C52" s="472" t="s">
        <v>2139</v>
      </c>
      <c r="D52" s="472"/>
      <c r="N52" s="247"/>
    </row>
    <row r="53" spans="1:14" s="225" customFormat="1" ht="15.75" customHeight="1">
      <c r="A53" s="224"/>
      <c r="B53" s="224"/>
      <c r="C53" s="472" t="s">
        <v>2140</v>
      </c>
      <c r="D53" s="472"/>
      <c r="N53" s="247"/>
    </row>
    <row r="54" spans="1:14" s="225" customFormat="1" ht="15.75" customHeight="1">
      <c r="A54" s="224"/>
      <c r="B54" s="224"/>
      <c r="C54" s="472"/>
      <c r="D54" s="472"/>
      <c r="N54" s="247"/>
    </row>
    <row r="55" spans="1:14" s="225" customFormat="1" ht="15.75" customHeight="1">
      <c r="A55" s="224"/>
      <c r="B55" s="224" t="s">
        <v>1379</v>
      </c>
      <c r="C55" s="472" t="s">
        <v>2134</v>
      </c>
      <c r="D55" s="472"/>
      <c r="N55" s="247" t="s">
        <v>2124</v>
      </c>
    </row>
    <row r="56" spans="1:14" s="225" customFormat="1" ht="15.75" customHeight="1">
      <c r="C56" s="224"/>
      <c r="D56" s="224"/>
      <c r="N56" s="247"/>
    </row>
    <row r="57" spans="1:14" s="225" customFormat="1" ht="15.75" customHeight="1">
      <c r="B57" s="224" t="s">
        <v>2100</v>
      </c>
      <c r="C57" s="472" t="s">
        <v>1972</v>
      </c>
      <c r="D57" s="224"/>
      <c r="N57" s="247" t="s">
        <v>1311</v>
      </c>
    </row>
    <row r="58" spans="1:14" s="225" customFormat="1" ht="15.75" customHeight="1">
      <c r="C58" s="224" t="s">
        <v>2147</v>
      </c>
      <c r="D58" s="472"/>
      <c r="N58" s="247"/>
    </row>
    <row r="59" spans="1:14" s="225" customFormat="1" ht="15.75" customHeight="1">
      <c r="C59" s="472" t="s">
        <v>2160</v>
      </c>
      <c r="D59" s="472"/>
      <c r="N59" s="247"/>
    </row>
    <row r="60" spans="1:14" s="225" customFormat="1" ht="15.75" customHeight="1">
      <c r="B60" s="224"/>
      <c r="C60" s="472" t="s">
        <v>2161</v>
      </c>
      <c r="D60" s="472"/>
      <c r="N60" s="247"/>
    </row>
    <row r="61" spans="1:14" s="225" customFormat="1" ht="15.75" customHeight="1">
      <c r="C61" s="472" t="s">
        <v>2162</v>
      </c>
      <c r="D61" s="472"/>
      <c r="N61" s="247"/>
    </row>
    <row r="62" spans="1:14" s="225" customFormat="1" ht="15.75" customHeight="1">
      <c r="C62" s="472" t="s">
        <v>2163</v>
      </c>
      <c r="D62" s="472"/>
      <c r="N62" s="247"/>
    </row>
    <row r="63" spans="1:14" s="225" customFormat="1" ht="15.75" customHeight="1">
      <c r="B63" s="224"/>
      <c r="C63" s="472" t="s">
        <v>2164</v>
      </c>
      <c r="D63" s="472"/>
      <c r="N63" s="247"/>
    </row>
    <row r="64" spans="1:14" s="225" customFormat="1" ht="15.75" customHeight="1">
      <c r="B64" s="224"/>
      <c r="C64" s="472"/>
      <c r="D64" s="472"/>
      <c r="N64" s="247"/>
    </row>
    <row r="65" spans="1:14" s="225" customFormat="1" ht="15.75" customHeight="1">
      <c r="B65" s="224" t="s">
        <v>2131</v>
      </c>
      <c r="C65" s="224" t="s">
        <v>1985</v>
      </c>
      <c r="D65" s="472"/>
      <c r="N65" s="247" t="s">
        <v>1311</v>
      </c>
    </row>
    <row r="66" spans="1:14" s="225" customFormat="1" ht="15.75" customHeight="1">
      <c r="C66" s="225" t="s">
        <v>2148</v>
      </c>
      <c r="D66" s="472"/>
      <c r="N66" s="247"/>
    </row>
    <row r="67" spans="1:14" s="225" customFormat="1" ht="15.75" customHeight="1">
      <c r="C67" s="224" t="s">
        <v>2165</v>
      </c>
      <c r="D67" s="472"/>
      <c r="N67" s="247"/>
    </row>
    <row r="68" spans="1:14" s="225" customFormat="1" ht="15.75" customHeight="1">
      <c r="C68" s="224" t="s">
        <v>2166</v>
      </c>
      <c r="D68" s="472"/>
      <c r="N68" s="247"/>
    </row>
    <row r="69" spans="1:14" s="225" customFormat="1" ht="15.75" customHeight="1">
      <c r="B69" s="224"/>
      <c r="C69" s="472" t="s">
        <v>2167</v>
      </c>
      <c r="D69" s="472"/>
      <c r="N69" s="247"/>
    </row>
    <row r="70" spans="1:14" s="225" customFormat="1" ht="15.75" customHeight="1">
      <c r="C70" s="224" t="s">
        <v>2168</v>
      </c>
      <c r="D70" s="472"/>
      <c r="N70" s="247"/>
    </row>
    <row r="71" spans="1:14" s="225" customFormat="1" ht="15.75" customHeight="1">
      <c r="C71" s="224" t="s">
        <v>2133</v>
      </c>
      <c r="D71" s="472"/>
      <c r="N71" s="247"/>
    </row>
    <row r="72" spans="1:14" s="225" customFormat="1" ht="15.75" customHeight="1">
      <c r="C72" s="472" t="s">
        <v>2169</v>
      </c>
      <c r="D72" s="472"/>
    </row>
    <row r="73" spans="1:14" s="225" customFormat="1" ht="15.75" customHeight="1">
      <c r="C73" s="224" t="s">
        <v>2170</v>
      </c>
      <c r="D73" s="472"/>
    </row>
    <row r="74" spans="1:14" s="229" customFormat="1" ht="15.75" customHeight="1">
      <c r="A74" s="253"/>
      <c r="B74" s="253"/>
      <c r="C74" s="472" t="s">
        <v>2171</v>
      </c>
      <c r="D74" s="224"/>
      <c r="E74" s="225"/>
      <c r="F74" s="225"/>
      <c r="G74" s="225"/>
      <c r="H74" s="225"/>
      <c r="I74" s="225"/>
      <c r="J74" s="225"/>
      <c r="K74" s="225"/>
      <c r="L74" s="225"/>
    </row>
    <row r="75" spans="1:14" s="225" customFormat="1" ht="15.75" customHeight="1">
      <c r="A75" s="264"/>
      <c r="B75" s="224"/>
      <c r="C75" s="472" t="s">
        <v>2172</v>
      </c>
      <c r="D75" s="224"/>
    </row>
    <row r="76" spans="1:14" s="225" customFormat="1" ht="15.75" customHeight="1">
      <c r="A76" s="264"/>
      <c r="B76" s="264"/>
      <c r="C76" s="224" t="s">
        <v>2173</v>
      </c>
    </row>
    <row r="77" spans="1:14" s="225" customFormat="1" ht="15.75" customHeight="1">
      <c r="A77" s="264"/>
      <c r="B77" s="264"/>
      <c r="C77" s="472" t="s">
        <v>2174</v>
      </c>
      <c r="D77" s="224"/>
    </row>
    <row r="78" spans="1:14" s="225" customFormat="1" ht="15.75" customHeight="1">
      <c r="A78" s="264"/>
      <c r="B78" s="264"/>
    </row>
    <row r="79" spans="1:14" s="225" customFormat="1" ht="15.75" customHeight="1">
      <c r="A79" s="264"/>
      <c r="B79" s="224" t="s">
        <v>2132</v>
      </c>
      <c r="C79" s="224" t="s">
        <v>1391</v>
      </c>
      <c r="D79" s="224"/>
    </row>
    <row r="80" spans="1:14" s="225" customFormat="1" ht="15.75" customHeight="1">
      <c r="A80" s="264"/>
      <c r="B80" s="264"/>
    </row>
    <row r="81" spans="1:14" s="225" customFormat="1" ht="15.75" customHeight="1">
      <c r="A81" s="264"/>
      <c r="B81" s="264"/>
      <c r="C81" s="224"/>
      <c r="D81" s="224"/>
    </row>
    <row r="82" spans="1:14" s="225" customFormat="1" ht="15.75" customHeight="1">
      <c r="A82" s="264"/>
      <c r="B82" s="264"/>
    </row>
    <row r="83" spans="1:14" s="225" customFormat="1" ht="15.75" customHeight="1">
      <c r="A83" s="264"/>
      <c r="B83" s="253"/>
      <c r="N83" s="247"/>
    </row>
    <row r="84" spans="1:14" s="225" customFormat="1" ht="15.75" customHeight="1">
      <c r="A84" s="264"/>
      <c r="B84" s="264"/>
    </row>
    <row r="85" spans="1:14" s="225" customFormat="1" ht="15.75" customHeight="1">
      <c r="A85" s="264"/>
      <c r="B85" s="253"/>
      <c r="C85" s="224"/>
      <c r="N85" s="247"/>
    </row>
    <row r="86" spans="1:14" s="225" customFormat="1" ht="15.75" customHeight="1">
      <c r="A86" s="264"/>
      <c r="B86" s="264"/>
    </row>
    <row r="87" spans="1:14" s="225" customFormat="1" ht="15.75" customHeight="1">
      <c r="A87" s="264"/>
      <c r="B87" s="253"/>
      <c r="C87" s="224"/>
      <c r="N87" s="247"/>
    </row>
    <row r="88" spans="1:14" s="225" customFormat="1" ht="15.75" customHeight="1">
      <c r="A88" s="264"/>
      <c r="B88" s="264"/>
      <c r="D88" s="224"/>
    </row>
    <row r="89" spans="1:14" s="225" customFormat="1" ht="15.75" customHeight="1">
      <c r="A89" s="264"/>
      <c r="B89" s="264"/>
      <c r="D89" s="224"/>
    </row>
    <row r="90" spans="1:14" s="225" customFormat="1" ht="15.75" customHeight="1">
      <c r="A90" s="264"/>
      <c r="B90" s="264"/>
    </row>
    <row r="91" spans="1:14" s="225" customFormat="1" ht="15.75" customHeight="1">
      <c r="A91" s="264"/>
      <c r="B91" s="253"/>
      <c r="C91" s="224"/>
      <c r="N91" s="247"/>
    </row>
    <row r="92" spans="1:14" s="225" customFormat="1" ht="15.75" customHeight="1">
      <c r="A92" s="264"/>
      <c r="B92" s="264"/>
    </row>
    <row r="93" spans="1:14" s="225" customFormat="1" ht="15.75" customHeight="1">
      <c r="B93" s="224"/>
      <c r="C93" s="224"/>
      <c r="N93" s="247"/>
    </row>
    <row r="94" spans="1:14" s="225" customFormat="1" ht="15.75" customHeight="1"/>
    <row r="95" spans="1:14" s="225" customFormat="1" ht="15.75" customHeight="1">
      <c r="B95" s="224"/>
      <c r="C95" s="224"/>
      <c r="N95" s="247"/>
    </row>
    <row r="96" spans="1:14" s="225" customFormat="1" ht="15.75" customHeight="1"/>
    <row r="97" spans="2:14" s="225" customFormat="1" ht="15.75" customHeight="1">
      <c r="B97" s="224"/>
      <c r="C97" s="227"/>
      <c r="N97" s="252"/>
    </row>
    <row r="98" spans="2:14" s="225" customFormat="1" ht="15.75" customHeight="1">
      <c r="D98" s="223"/>
    </row>
    <row r="99" spans="2:14" s="225" customFormat="1" ht="15.75" customHeight="1">
      <c r="D99" s="223"/>
    </row>
    <row r="100" spans="2:14" s="225" customFormat="1" ht="15.75" customHeight="1">
      <c r="D100" s="223"/>
    </row>
    <row r="101" spans="2:14" s="225" customFormat="1" ht="15.75" customHeight="1"/>
    <row r="102" spans="2:14" s="225" customFormat="1" ht="15.75" customHeight="1">
      <c r="B102" s="224"/>
      <c r="C102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G231"/>
  <sheetViews>
    <sheetView zoomScaleSheetLayoutView="100" workbookViewId="0">
      <selection activeCell="A7" sqref="A7"/>
    </sheetView>
  </sheetViews>
  <sheetFormatPr defaultRowHeight="12"/>
  <cols>
    <col min="1" max="1" width="30.625" style="172" customWidth="1"/>
    <col min="2" max="5" width="13.875" style="172" customWidth="1"/>
    <col min="6" max="7" width="13.875" style="173" customWidth="1"/>
    <col min="8" max="253" width="9" style="173"/>
    <col min="254" max="254" width="3.25" style="173" customWidth="1"/>
    <col min="255" max="255" width="2.5" style="173" customWidth="1"/>
    <col min="256" max="256" width="5.5" style="173" customWidth="1"/>
    <col min="257" max="257" width="11.875" style="173" customWidth="1"/>
    <col min="258" max="263" width="13.875" style="173" customWidth="1"/>
    <col min="264" max="509" width="9" style="173"/>
    <col min="510" max="510" width="3.25" style="173" customWidth="1"/>
    <col min="511" max="511" width="2.5" style="173" customWidth="1"/>
    <col min="512" max="512" width="5.5" style="173" customWidth="1"/>
    <col min="513" max="513" width="11.875" style="173" customWidth="1"/>
    <col min="514" max="519" width="13.875" style="173" customWidth="1"/>
    <col min="520" max="765" width="9" style="173"/>
    <col min="766" max="766" width="3.25" style="173" customWidth="1"/>
    <col min="767" max="767" width="2.5" style="173" customWidth="1"/>
    <col min="768" max="768" width="5.5" style="173" customWidth="1"/>
    <col min="769" max="769" width="11.875" style="173" customWidth="1"/>
    <col min="770" max="775" width="13.875" style="173" customWidth="1"/>
    <col min="776" max="1021" width="9" style="173"/>
    <col min="1022" max="1022" width="3.25" style="173" customWidth="1"/>
    <col min="1023" max="1023" width="2.5" style="173" customWidth="1"/>
    <col min="1024" max="1024" width="5.5" style="173" customWidth="1"/>
    <col min="1025" max="1025" width="11.875" style="173" customWidth="1"/>
    <col min="1026" max="1031" width="13.875" style="173" customWidth="1"/>
    <col min="1032" max="1277" width="9" style="173"/>
    <col min="1278" max="1278" width="3.25" style="173" customWidth="1"/>
    <col min="1279" max="1279" width="2.5" style="173" customWidth="1"/>
    <col min="1280" max="1280" width="5.5" style="173" customWidth="1"/>
    <col min="1281" max="1281" width="11.875" style="173" customWidth="1"/>
    <col min="1282" max="1287" width="13.875" style="173" customWidth="1"/>
    <col min="1288" max="1533" width="9" style="173"/>
    <col min="1534" max="1534" width="3.25" style="173" customWidth="1"/>
    <col min="1535" max="1535" width="2.5" style="173" customWidth="1"/>
    <col min="1536" max="1536" width="5.5" style="173" customWidth="1"/>
    <col min="1537" max="1537" width="11.875" style="173" customWidth="1"/>
    <col min="1538" max="1543" width="13.875" style="173" customWidth="1"/>
    <col min="1544" max="1789" width="9" style="173"/>
    <col min="1790" max="1790" width="3.25" style="173" customWidth="1"/>
    <col min="1791" max="1791" width="2.5" style="173" customWidth="1"/>
    <col min="1792" max="1792" width="5.5" style="173" customWidth="1"/>
    <col min="1793" max="1793" width="11.875" style="173" customWidth="1"/>
    <col min="1794" max="1799" width="13.875" style="173" customWidth="1"/>
    <col min="1800" max="2045" width="9" style="173"/>
    <col min="2046" max="2046" width="3.25" style="173" customWidth="1"/>
    <col min="2047" max="2047" width="2.5" style="173" customWidth="1"/>
    <col min="2048" max="2048" width="5.5" style="173" customWidth="1"/>
    <col min="2049" max="2049" width="11.875" style="173" customWidth="1"/>
    <col min="2050" max="2055" width="13.875" style="173" customWidth="1"/>
    <col min="2056" max="2301" width="9" style="173"/>
    <col min="2302" max="2302" width="3.25" style="173" customWidth="1"/>
    <col min="2303" max="2303" width="2.5" style="173" customWidth="1"/>
    <col min="2304" max="2304" width="5.5" style="173" customWidth="1"/>
    <col min="2305" max="2305" width="11.875" style="173" customWidth="1"/>
    <col min="2306" max="2311" width="13.875" style="173" customWidth="1"/>
    <col min="2312" max="2557" width="9" style="173"/>
    <col min="2558" max="2558" width="3.25" style="173" customWidth="1"/>
    <col min="2559" max="2559" width="2.5" style="173" customWidth="1"/>
    <col min="2560" max="2560" width="5.5" style="173" customWidth="1"/>
    <col min="2561" max="2561" width="11.875" style="173" customWidth="1"/>
    <col min="2562" max="2567" width="13.875" style="173" customWidth="1"/>
    <col min="2568" max="2813" width="9" style="173"/>
    <col min="2814" max="2814" width="3.25" style="173" customWidth="1"/>
    <col min="2815" max="2815" width="2.5" style="173" customWidth="1"/>
    <col min="2816" max="2816" width="5.5" style="173" customWidth="1"/>
    <col min="2817" max="2817" width="11.875" style="173" customWidth="1"/>
    <col min="2818" max="2823" width="13.875" style="173" customWidth="1"/>
    <col min="2824" max="3069" width="9" style="173"/>
    <col min="3070" max="3070" width="3.25" style="173" customWidth="1"/>
    <col min="3071" max="3071" width="2.5" style="173" customWidth="1"/>
    <col min="3072" max="3072" width="5.5" style="173" customWidth="1"/>
    <col min="3073" max="3073" width="11.875" style="173" customWidth="1"/>
    <col min="3074" max="3079" width="13.875" style="173" customWidth="1"/>
    <col min="3080" max="3325" width="9" style="173"/>
    <col min="3326" max="3326" width="3.25" style="173" customWidth="1"/>
    <col min="3327" max="3327" width="2.5" style="173" customWidth="1"/>
    <col min="3328" max="3328" width="5.5" style="173" customWidth="1"/>
    <col min="3329" max="3329" width="11.875" style="173" customWidth="1"/>
    <col min="3330" max="3335" width="13.875" style="173" customWidth="1"/>
    <col min="3336" max="3581" width="9" style="173"/>
    <col min="3582" max="3582" width="3.25" style="173" customWidth="1"/>
    <col min="3583" max="3583" width="2.5" style="173" customWidth="1"/>
    <col min="3584" max="3584" width="5.5" style="173" customWidth="1"/>
    <col min="3585" max="3585" width="11.875" style="173" customWidth="1"/>
    <col min="3586" max="3591" width="13.875" style="173" customWidth="1"/>
    <col min="3592" max="3837" width="9" style="173"/>
    <col min="3838" max="3838" width="3.25" style="173" customWidth="1"/>
    <col min="3839" max="3839" width="2.5" style="173" customWidth="1"/>
    <col min="3840" max="3840" width="5.5" style="173" customWidth="1"/>
    <col min="3841" max="3841" width="11.875" style="173" customWidth="1"/>
    <col min="3842" max="3847" width="13.875" style="173" customWidth="1"/>
    <col min="3848" max="4093" width="9" style="173"/>
    <col min="4094" max="4094" width="3.25" style="173" customWidth="1"/>
    <col min="4095" max="4095" width="2.5" style="173" customWidth="1"/>
    <col min="4096" max="4096" width="5.5" style="173" customWidth="1"/>
    <col min="4097" max="4097" width="11.875" style="173" customWidth="1"/>
    <col min="4098" max="4103" width="13.875" style="173" customWidth="1"/>
    <col min="4104" max="4349" width="9" style="173"/>
    <col min="4350" max="4350" width="3.25" style="173" customWidth="1"/>
    <col min="4351" max="4351" width="2.5" style="173" customWidth="1"/>
    <col min="4352" max="4352" width="5.5" style="173" customWidth="1"/>
    <col min="4353" max="4353" width="11.875" style="173" customWidth="1"/>
    <col min="4354" max="4359" width="13.875" style="173" customWidth="1"/>
    <col min="4360" max="4605" width="9" style="173"/>
    <col min="4606" max="4606" width="3.25" style="173" customWidth="1"/>
    <col min="4607" max="4607" width="2.5" style="173" customWidth="1"/>
    <col min="4608" max="4608" width="5.5" style="173" customWidth="1"/>
    <col min="4609" max="4609" width="11.875" style="173" customWidth="1"/>
    <col min="4610" max="4615" width="13.875" style="173" customWidth="1"/>
    <col min="4616" max="4861" width="9" style="173"/>
    <col min="4862" max="4862" width="3.25" style="173" customWidth="1"/>
    <col min="4863" max="4863" width="2.5" style="173" customWidth="1"/>
    <col min="4864" max="4864" width="5.5" style="173" customWidth="1"/>
    <col min="4865" max="4865" width="11.875" style="173" customWidth="1"/>
    <col min="4866" max="4871" width="13.875" style="173" customWidth="1"/>
    <col min="4872" max="5117" width="9" style="173"/>
    <col min="5118" max="5118" width="3.25" style="173" customWidth="1"/>
    <col min="5119" max="5119" width="2.5" style="173" customWidth="1"/>
    <col min="5120" max="5120" width="5.5" style="173" customWidth="1"/>
    <col min="5121" max="5121" width="11.875" style="173" customWidth="1"/>
    <col min="5122" max="5127" width="13.875" style="173" customWidth="1"/>
    <col min="5128" max="5373" width="9" style="173"/>
    <col min="5374" max="5374" width="3.25" style="173" customWidth="1"/>
    <col min="5375" max="5375" width="2.5" style="173" customWidth="1"/>
    <col min="5376" max="5376" width="5.5" style="173" customWidth="1"/>
    <col min="5377" max="5377" width="11.875" style="173" customWidth="1"/>
    <col min="5378" max="5383" width="13.875" style="173" customWidth="1"/>
    <col min="5384" max="5629" width="9" style="173"/>
    <col min="5630" max="5630" width="3.25" style="173" customWidth="1"/>
    <col min="5631" max="5631" width="2.5" style="173" customWidth="1"/>
    <col min="5632" max="5632" width="5.5" style="173" customWidth="1"/>
    <col min="5633" max="5633" width="11.875" style="173" customWidth="1"/>
    <col min="5634" max="5639" width="13.875" style="173" customWidth="1"/>
    <col min="5640" max="5885" width="9" style="173"/>
    <col min="5886" max="5886" width="3.25" style="173" customWidth="1"/>
    <col min="5887" max="5887" width="2.5" style="173" customWidth="1"/>
    <col min="5888" max="5888" width="5.5" style="173" customWidth="1"/>
    <col min="5889" max="5889" width="11.875" style="173" customWidth="1"/>
    <col min="5890" max="5895" width="13.875" style="173" customWidth="1"/>
    <col min="5896" max="6141" width="9" style="173"/>
    <col min="6142" max="6142" width="3.25" style="173" customWidth="1"/>
    <col min="6143" max="6143" width="2.5" style="173" customWidth="1"/>
    <col min="6144" max="6144" width="5.5" style="173" customWidth="1"/>
    <col min="6145" max="6145" width="11.875" style="173" customWidth="1"/>
    <col min="6146" max="6151" width="13.875" style="173" customWidth="1"/>
    <col min="6152" max="6397" width="9" style="173"/>
    <col min="6398" max="6398" width="3.25" style="173" customWidth="1"/>
    <col min="6399" max="6399" width="2.5" style="173" customWidth="1"/>
    <col min="6400" max="6400" width="5.5" style="173" customWidth="1"/>
    <col min="6401" max="6401" width="11.875" style="173" customWidth="1"/>
    <col min="6402" max="6407" width="13.875" style="173" customWidth="1"/>
    <col min="6408" max="6653" width="9" style="173"/>
    <col min="6654" max="6654" width="3.25" style="173" customWidth="1"/>
    <col min="6655" max="6655" width="2.5" style="173" customWidth="1"/>
    <col min="6656" max="6656" width="5.5" style="173" customWidth="1"/>
    <col min="6657" max="6657" width="11.875" style="173" customWidth="1"/>
    <col min="6658" max="6663" width="13.875" style="173" customWidth="1"/>
    <col min="6664" max="6909" width="9" style="173"/>
    <col min="6910" max="6910" width="3.25" style="173" customWidth="1"/>
    <col min="6911" max="6911" width="2.5" style="173" customWidth="1"/>
    <col min="6912" max="6912" width="5.5" style="173" customWidth="1"/>
    <col min="6913" max="6913" width="11.875" style="173" customWidth="1"/>
    <col min="6914" max="6919" width="13.875" style="173" customWidth="1"/>
    <col min="6920" max="7165" width="9" style="173"/>
    <col min="7166" max="7166" width="3.25" style="173" customWidth="1"/>
    <col min="7167" max="7167" width="2.5" style="173" customWidth="1"/>
    <col min="7168" max="7168" width="5.5" style="173" customWidth="1"/>
    <col min="7169" max="7169" width="11.875" style="173" customWidth="1"/>
    <col min="7170" max="7175" width="13.875" style="173" customWidth="1"/>
    <col min="7176" max="7421" width="9" style="173"/>
    <col min="7422" max="7422" width="3.25" style="173" customWidth="1"/>
    <col min="7423" max="7423" width="2.5" style="173" customWidth="1"/>
    <col min="7424" max="7424" width="5.5" style="173" customWidth="1"/>
    <col min="7425" max="7425" width="11.875" style="173" customWidth="1"/>
    <col min="7426" max="7431" width="13.875" style="173" customWidth="1"/>
    <col min="7432" max="7677" width="9" style="173"/>
    <col min="7678" max="7678" width="3.25" style="173" customWidth="1"/>
    <col min="7679" max="7679" width="2.5" style="173" customWidth="1"/>
    <col min="7680" max="7680" width="5.5" style="173" customWidth="1"/>
    <col min="7681" max="7681" width="11.875" style="173" customWidth="1"/>
    <col min="7682" max="7687" width="13.875" style="173" customWidth="1"/>
    <col min="7688" max="7933" width="9" style="173"/>
    <col min="7934" max="7934" width="3.25" style="173" customWidth="1"/>
    <col min="7935" max="7935" width="2.5" style="173" customWidth="1"/>
    <col min="7936" max="7936" width="5.5" style="173" customWidth="1"/>
    <col min="7937" max="7937" width="11.875" style="173" customWidth="1"/>
    <col min="7938" max="7943" width="13.875" style="173" customWidth="1"/>
    <col min="7944" max="8189" width="9" style="173"/>
    <col min="8190" max="8190" width="3.25" style="173" customWidth="1"/>
    <col min="8191" max="8191" width="2.5" style="173" customWidth="1"/>
    <col min="8192" max="8192" width="5.5" style="173" customWidth="1"/>
    <col min="8193" max="8193" width="11.875" style="173" customWidth="1"/>
    <col min="8194" max="8199" width="13.875" style="173" customWidth="1"/>
    <col min="8200" max="8445" width="9" style="173"/>
    <col min="8446" max="8446" width="3.25" style="173" customWidth="1"/>
    <col min="8447" max="8447" width="2.5" style="173" customWidth="1"/>
    <col min="8448" max="8448" width="5.5" style="173" customWidth="1"/>
    <col min="8449" max="8449" width="11.875" style="173" customWidth="1"/>
    <col min="8450" max="8455" width="13.875" style="173" customWidth="1"/>
    <col min="8456" max="8701" width="9" style="173"/>
    <col min="8702" max="8702" width="3.25" style="173" customWidth="1"/>
    <col min="8703" max="8703" width="2.5" style="173" customWidth="1"/>
    <col min="8704" max="8704" width="5.5" style="173" customWidth="1"/>
    <col min="8705" max="8705" width="11.875" style="173" customWidth="1"/>
    <col min="8706" max="8711" width="13.875" style="173" customWidth="1"/>
    <col min="8712" max="8957" width="9" style="173"/>
    <col min="8958" max="8958" width="3.25" style="173" customWidth="1"/>
    <col min="8959" max="8959" width="2.5" style="173" customWidth="1"/>
    <col min="8960" max="8960" width="5.5" style="173" customWidth="1"/>
    <col min="8961" max="8961" width="11.875" style="173" customWidth="1"/>
    <col min="8962" max="8967" width="13.875" style="173" customWidth="1"/>
    <col min="8968" max="9213" width="9" style="173"/>
    <col min="9214" max="9214" width="3.25" style="173" customWidth="1"/>
    <col min="9215" max="9215" width="2.5" style="173" customWidth="1"/>
    <col min="9216" max="9216" width="5.5" style="173" customWidth="1"/>
    <col min="9217" max="9217" width="11.875" style="173" customWidth="1"/>
    <col min="9218" max="9223" width="13.875" style="173" customWidth="1"/>
    <col min="9224" max="9469" width="9" style="173"/>
    <col min="9470" max="9470" width="3.25" style="173" customWidth="1"/>
    <col min="9471" max="9471" width="2.5" style="173" customWidth="1"/>
    <col min="9472" max="9472" width="5.5" style="173" customWidth="1"/>
    <col min="9473" max="9473" width="11.875" style="173" customWidth="1"/>
    <col min="9474" max="9479" width="13.875" style="173" customWidth="1"/>
    <col min="9480" max="9725" width="9" style="173"/>
    <col min="9726" max="9726" width="3.25" style="173" customWidth="1"/>
    <col min="9727" max="9727" width="2.5" style="173" customWidth="1"/>
    <col min="9728" max="9728" width="5.5" style="173" customWidth="1"/>
    <col min="9729" max="9729" width="11.875" style="173" customWidth="1"/>
    <col min="9730" max="9735" width="13.875" style="173" customWidth="1"/>
    <col min="9736" max="9981" width="9" style="173"/>
    <col min="9982" max="9982" width="3.25" style="173" customWidth="1"/>
    <col min="9983" max="9983" width="2.5" style="173" customWidth="1"/>
    <col min="9984" max="9984" width="5.5" style="173" customWidth="1"/>
    <col min="9985" max="9985" width="11.875" style="173" customWidth="1"/>
    <col min="9986" max="9991" width="13.875" style="173" customWidth="1"/>
    <col min="9992" max="10237" width="9" style="173"/>
    <col min="10238" max="10238" width="3.25" style="173" customWidth="1"/>
    <col min="10239" max="10239" width="2.5" style="173" customWidth="1"/>
    <col min="10240" max="10240" width="5.5" style="173" customWidth="1"/>
    <col min="10241" max="10241" width="11.875" style="173" customWidth="1"/>
    <col min="10242" max="10247" width="13.875" style="173" customWidth="1"/>
    <col min="10248" max="10493" width="9" style="173"/>
    <col min="10494" max="10494" width="3.25" style="173" customWidth="1"/>
    <col min="10495" max="10495" width="2.5" style="173" customWidth="1"/>
    <col min="10496" max="10496" width="5.5" style="173" customWidth="1"/>
    <col min="10497" max="10497" width="11.875" style="173" customWidth="1"/>
    <col min="10498" max="10503" width="13.875" style="173" customWidth="1"/>
    <col min="10504" max="10749" width="9" style="173"/>
    <col min="10750" max="10750" width="3.25" style="173" customWidth="1"/>
    <col min="10751" max="10751" width="2.5" style="173" customWidth="1"/>
    <col min="10752" max="10752" width="5.5" style="173" customWidth="1"/>
    <col min="10753" max="10753" width="11.875" style="173" customWidth="1"/>
    <col min="10754" max="10759" width="13.875" style="173" customWidth="1"/>
    <col min="10760" max="11005" width="9" style="173"/>
    <col min="11006" max="11006" width="3.25" style="173" customWidth="1"/>
    <col min="11007" max="11007" width="2.5" style="173" customWidth="1"/>
    <col min="11008" max="11008" width="5.5" style="173" customWidth="1"/>
    <col min="11009" max="11009" width="11.875" style="173" customWidth="1"/>
    <col min="11010" max="11015" width="13.875" style="173" customWidth="1"/>
    <col min="11016" max="11261" width="9" style="173"/>
    <col min="11262" max="11262" width="3.25" style="173" customWidth="1"/>
    <col min="11263" max="11263" width="2.5" style="173" customWidth="1"/>
    <col min="11264" max="11264" width="5.5" style="173" customWidth="1"/>
    <col min="11265" max="11265" width="11.875" style="173" customWidth="1"/>
    <col min="11266" max="11271" width="13.875" style="173" customWidth="1"/>
    <col min="11272" max="11517" width="9" style="173"/>
    <col min="11518" max="11518" width="3.25" style="173" customWidth="1"/>
    <col min="11519" max="11519" width="2.5" style="173" customWidth="1"/>
    <col min="11520" max="11520" width="5.5" style="173" customWidth="1"/>
    <col min="11521" max="11521" width="11.875" style="173" customWidth="1"/>
    <col min="11522" max="11527" width="13.875" style="173" customWidth="1"/>
    <col min="11528" max="11773" width="9" style="173"/>
    <col min="11774" max="11774" width="3.25" style="173" customWidth="1"/>
    <col min="11775" max="11775" width="2.5" style="173" customWidth="1"/>
    <col min="11776" max="11776" width="5.5" style="173" customWidth="1"/>
    <col min="11777" max="11777" width="11.875" style="173" customWidth="1"/>
    <col min="11778" max="11783" width="13.875" style="173" customWidth="1"/>
    <col min="11784" max="12029" width="9" style="173"/>
    <col min="12030" max="12030" width="3.25" style="173" customWidth="1"/>
    <col min="12031" max="12031" width="2.5" style="173" customWidth="1"/>
    <col min="12032" max="12032" width="5.5" style="173" customWidth="1"/>
    <col min="12033" max="12033" width="11.875" style="173" customWidth="1"/>
    <col min="12034" max="12039" width="13.875" style="173" customWidth="1"/>
    <col min="12040" max="12285" width="9" style="173"/>
    <col min="12286" max="12286" width="3.25" style="173" customWidth="1"/>
    <col min="12287" max="12287" width="2.5" style="173" customWidth="1"/>
    <col min="12288" max="12288" width="5.5" style="173" customWidth="1"/>
    <col min="12289" max="12289" width="11.875" style="173" customWidth="1"/>
    <col min="12290" max="12295" width="13.875" style="173" customWidth="1"/>
    <col min="12296" max="12541" width="9" style="173"/>
    <col min="12542" max="12542" width="3.25" style="173" customWidth="1"/>
    <col min="12543" max="12543" width="2.5" style="173" customWidth="1"/>
    <col min="12544" max="12544" width="5.5" style="173" customWidth="1"/>
    <col min="12545" max="12545" width="11.875" style="173" customWidth="1"/>
    <col min="12546" max="12551" width="13.875" style="173" customWidth="1"/>
    <col min="12552" max="12797" width="9" style="173"/>
    <col min="12798" max="12798" width="3.25" style="173" customWidth="1"/>
    <col min="12799" max="12799" width="2.5" style="173" customWidth="1"/>
    <col min="12800" max="12800" width="5.5" style="173" customWidth="1"/>
    <col min="12801" max="12801" width="11.875" style="173" customWidth="1"/>
    <col min="12802" max="12807" width="13.875" style="173" customWidth="1"/>
    <col min="12808" max="13053" width="9" style="173"/>
    <col min="13054" max="13054" width="3.25" style="173" customWidth="1"/>
    <col min="13055" max="13055" width="2.5" style="173" customWidth="1"/>
    <col min="13056" max="13056" width="5.5" style="173" customWidth="1"/>
    <col min="13057" max="13057" width="11.875" style="173" customWidth="1"/>
    <col min="13058" max="13063" width="13.875" style="173" customWidth="1"/>
    <col min="13064" max="13309" width="9" style="173"/>
    <col min="13310" max="13310" width="3.25" style="173" customWidth="1"/>
    <col min="13311" max="13311" width="2.5" style="173" customWidth="1"/>
    <col min="13312" max="13312" width="5.5" style="173" customWidth="1"/>
    <col min="13313" max="13313" width="11.875" style="173" customWidth="1"/>
    <col min="13314" max="13319" width="13.875" style="173" customWidth="1"/>
    <col min="13320" max="13565" width="9" style="173"/>
    <col min="13566" max="13566" width="3.25" style="173" customWidth="1"/>
    <col min="13567" max="13567" width="2.5" style="173" customWidth="1"/>
    <col min="13568" max="13568" width="5.5" style="173" customWidth="1"/>
    <col min="13569" max="13569" width="11.875" style="173" customWidth="1"/>
    <col min="13570" max="13575" width="13.875" style="173" customWidth="1"/>
    <col min="13576" max="13821" width="9" style="173"/>
    <col min="13822" max="13822" width="3.25" style="173" customWidth="1"/>
    <col min="13823" max="13823" width="2.5" style="173" customWidth="1"/>
    <col min="13824" max="13824" width="5.5" style="173" customWidth="1"/>
    <col min="13825" max="13825" width="11.875" style="173" customWidth="1"/>
    <col min="13826" max="13831" width="13.875" style="173" customWidth="1"/>
    <col min="13832" max="14077" width="9" style="173"/>
    <col min="14078" max="14078" width="3.25" style="173" customWidth="1"/>
    <col min="14079" max="14079" width="2.5" style="173" customWidth="1"/>
    <col min="14080" max="14080" width="5.5" style="173" customWidth="1"/>
    <col min="14081" max="14081" width="11.875" style="173" customWidth="1"/>
    <col min="14082" max="14087" width="13.875" style="173" customWidth="1"/>
    <col min="14088" max="14333" width="9" style="173"/>
    <col min="14334" max="14334" width="3.25" style="173" customWidth="1"/>
    <col min="14335" max="14335" width="2.5" style="173" customWidth="1"/>
    <col min="14336" max="14336" width="5.5" style="173" customWidth="1"/>
    <col min="14337" max="14337" width="11.875" style="173" customWidth="1"/>
    <col min="14338" max="14343" width="13.875" style="173" customWidth="1"/>
    <col min="14344" max="14589" width="9" style="173"/>
    <col min="14590" max="14590" width="3.25" style="173" customWidth="1"/>
    <col min="14591" max="14591" width="2.5" style="173" customWidth="1"/>
    <col min="14592" max="14592" width="5.5" style="173" customWidth="1"/>
    <col min="14593" max="14593" width="11.875" style="173" customWidth="1"/>
    <col min="14594" max="14599" width="13.875" style="173" customWidth="1"/>
    <col min="14600" max="14845" width="9" style="173"/>
    <col min="14846" max="14846" width="3.25" style="173" customWidth="1"/>
    <col min="14847" max="14847" width="2.5" style="173" customWidth="1"/>
    <col min="14848" max="14848" width="5.5" style="173" customWidth="1"/>
    <col min="14849" max="14849" width="11.875" style="173" customWidth="1"/>
    <col min="14850" max="14855" width="13.875" style="173" customWidth="1"/>
    <col min="14856" max="15101" width="9" style="173"/>
    <col min="15102" max="15102" width="3.25" style="173" customWidth="1"/>
    <col min="15103" max="15103" width="2.5" style="173" customWidth="1"/>
    <col min="15104" max="15104" width="5.5" style="173" customWidth="1"/>
    <col min="15105" max="15105" width="11.875" style="173" customWidth="1"/>
    <col min="15106" max="15111" width="13.875" style="173" customWidth="1"/>
    <col min="15112" max="15357" width="9" style="173"/>
    <col min="15358" max="15358" width="3.25" style="173" customWidth="1"/>
    <col min="15359" max="15359" width="2.5" style="173" customWidth="1"/>
    <col min="15360" max="15360" width="5.5" style="173" customWidth="1"/>
    <col min="15361" max="15361" width="11.875" style="173" customWidth="1"/>
    <col min="15362" max="15367" width="13.875" style="173" customWidth="1"/>
    <col min="15368" max="15613" width="9" style="173"/>
    <col min="15614" max="15614" width="3.25" style="173" customWidth="1"/>
    <col min="15615" max="15615" width="2.5" style="173" customWidth="1"/>
    <col min="15616" max="15616" width="5.5" style="173" customWidth="1"/>
    <col min="15617" max="15617" width="11.875" style="173" customWidth="1"/>
    <col min="15618" max="15623" width="13.875" style="173" customWidth="1"/>
    <col min="15624" max="15869" width="9" style="173"/>
    <col min="15870" max="15870" width="3.25" style="173" customWidth="1"/>
    <col min="15871" max="15871" width="2.5" style="173" customWidth="1"/>
    <col min="15872" max="15872" width="5.5" style="173" customWidth="1"/>
    <col min="15873" max="15873" width="11.875" style="173" customWidth="1"/>
    <col min="15874" max="15879" width="13.875" style="173" customWidth="1"/>
    <col min="15880" max="16125" width="9" style="173"/>
    <col min="16126" max="16126" width="3.25" style="173" customWidth="1"/>
    <col min="16127" max="16127" width="2.5" style="173" customWidth="1"/>
    <col min="16128" max="16128" width="5.5" style="173" customWidth="1"/>
    <col min="16129" max="16129" width="11.875" style="173" customWidth="1"/>
    <col min="16130" max="16135" width="13.875" style="173" customWidth="1"/>
    <col min="16136" max="16384" width="9" style="173"/>
  </cols>
  <sheetData>
    <row r="1" spans="1:7" s="155" customFormat="1" ht="32.1" customHeight="1">
      <c r="A1" s="3" t="s">
        <v>370</v>
      </c>
      <c r="B1" s="153"/>
      <c r="C1" s="153"/>
      <c r="D1" s="153"/>
      <c r="E1" s="153"/>
      <c r="F1" s="154"/>
      <c r="G1" s="154"/>
    </row>
    <row r="2" spans="1:7" s="155" customFormat="1" ht="6" customHeight="1">
      <c r="A2" s="156"/>
      <c r="B2" s="153"/>
      <c r="C2" s="153"/>
      <c r="D2" s="153"/>
      <c r="E2" s="153"/>
      <c r="F2" s="154"/>
      <c r="G2" s="154"/>
    </row>
    <row r="3" spans="1:7" s="158" customFormat="1" ht="15.75" customHeight="1">
      <c r="A3" s="157" t="str">
        <f>기본사항!C7</f>
        <v>제  13  기  2011년 1월 1일부터  2011년 12월 31일까지</v>
      </c>
      <c r="B3" s="157"/>
      <c r="C3" s="157"/>
      <c r="D3" s="157"/>
      <c r="E3" s="157"/>
      <c r="F3" s="156"/>
      <c r="G3" s="156"/>
    </row>
    <row r="4" spans="1:7" s="158" customFormat="1" ht="15.75" customHeight="1">
      <c r="A4" s="157" t="str">
        <f>기본사항!C8</f>
        <v>제  12  기  2010년 1월 1일부터  2010년 12월 31일까지</v>
      </c>
      <c r="B4" s="157"/>
      <c r="C4" s="157"/>
      <c r="D4" s="157"/>
      <c r="E4" s="157"/>
      <c r="F4" s="156"/>
      <c r="G4" s="156"/>
    </row>
    <row r="5" spans="1:7" s="158" customFormat="1" ht="8.1" customHeight="1">
      <c r="A5" s="157"/>
      <c r="B5" s="157"/>
      <c r="C5" s="157"/>
      <c r="D5" s="157"/>
      <c r="E5" s="157"/>
    </row>
    <row r="6" spans="1:7" s="1" customFormat="1" ht="8.1" customHeight="1">
      <c r="A6" s="159"/>
      <c r="B6" s="159"/>
      <c r="C6" s="159"/>
      <c r="D6" s="159"/>
      <c r="E6" s="159"/>
    </row>
    <row r="7" spans="1:7" s="1" customFormat="1" ht="12" customHeight="1">
      <c r="A7" s="160" t="str">
        <f>기본사항!C2</f>
        <v>(재)한국여성재단</v>
      </c>
      <c r="B7" s="159"/>
      <c r="C7" s="159"/>
      <c r="D7" s="159"/>
      <c r="E7" s="159"/>
      <c r="G7" s="159" t="s">
        <v>20</v>
      </c>
    </row>
    <row r="8" spans="1:7" s="1" customFormat="1" ht="12" customHeight="1">
      <c r="A8" s="161"/>
      <c r="B8" s="159"/>
      <c r="C8" s="159"/>
      <c r="D8" s="159"/>
      <c r="E8" s="159"/>
    </row>
    <row r="9" spans="1:7" s="162" customFormat="1" ht="34.5" customHeight="1">
      <c r="A9" s="145" t="s">
        <v>21</v>
      </c>
      <c r="B9" s="145" t="s">
        <v>364</v>
      </c>
      <c r="C9" s="145" t="s">
        <v>365</v>
      </c>
      <c r="D9" s="145" t="s">
        <v>366</v>
      </c>
      <c r="E9" s="145" t="s">
        <v>367</v>
      </c>
      <c r="F9" s="145" t="s">
        <v>49</v>
      </c>
      <c r="G9" s="145" t="s">
        <v>368</v>
      </c>
    </row>
    <row r="10" spans="1:7" s="1" customFormat="1" ht="22.5" customHeight="1">
      <c r="A10" s="146" t="str">
        <f>CONCATENATE(기본사항!$G$3,".01.01"," (전기초)")</f>
        <v>2010.01.01 (전기초)</v>
      </c>
      <c r="B10" s="163"/>
      <c r="C10" s="163"/>
      <c r="D10" s="163"/>
      <c r="E10" s="163"/>
      <c r="F10" s="163"/>
      <c r="G10" s="163">
        <f>SUM(B10:F10)</f>
        <v>0</v>
      </c>
    </row>
    <row r="11" spans="1:7" s="1" customFormat="1" ht="22.5" customHeight="1">
      <c r="A11" s="146" t="s">
        <v>604</v>
      </c>
      <c r="B11" s="164"/>
      <c r="C11" s="163"/>
      <c r="D11" s="163"/>
      <c r="E11" s="163"/>
      <c r="F11" s="163"/>
      <c r="G11" s="163">
        <f>F11</f>
        <v>0</v>
      </c>
    </row>
    <row r="12" spans="1:7" s="1" customFormat="1" ht="22.5" customHeight="1">
      <c r="A12" s="146" t="s">
        <v>526</v>
      </c>
      <c r="B12" s="163"/>
      <c r="C12" s="163"/>
      <c r="D12" s="163"/>
      <c r="E12" s="163"/>
      <c r="F12" s="163"/>
      <c r="G12" s="163">
        <f>SUM(B12:F12)</f>
        <v>0</v>
      </c>
    </row>
    <row r="13" spans="1:7" s="1" customFormat="1" ht="22.5" customHeight="1">
      <c r="A13" s="146" t="s">
        <v>605</v>
      </c>
      <c r="B13" s="163"/>
      <c r="C13" s="163"/>
      <c r="D13" s="163"/>
      <c r="E13" s="163"/>
      <c r="F13" s="163"/>
      <c r="G13" s="163">
        <f>SUM(B13:F13)</f>
        <v>0</v>
      </c>
    </row>
    <row r="14" spans="1:7" s="1" customFormat="1" ht="22.5" customHeight="1">
      <c r="A14" s="146" t="str">
        <f>CONCATENATE(기본사항!$G$3,".12.31"," (전기말)")</f>
        <v>2010.12.31 (전기말)</v>
      </c>
      <c r="B14" s="165">
        <f>SUM(B10:B13)</f>
        <v>0</v>
      </c>
      <c r="C14" s="165">
        <f t="shared" ref="C14:G14" si="0">SUM(C10:C13)</f>
        <v>0</v>
      </c>
      <c r="D14" s="165">
        <f t="shared" si="0"/>
        <v>0</v>
      </c>
      <c r="E14" s="165">
        <f t="shared" si="0"/>
        <v>0</v>
      </c>
      <c r="F14" s="165">
        <f t="shared" si="0"/>
        <v>0</v>
      </c>
      <c r="G14" s="165">
        <f t="shared" si="0"/>
        <v>0</v>
      </c>
    </row>
    <row r="15" spans="1:7" s="1" customFormat="1" ht="22.5" customHeight="1">
      <c r="A15" s="146" t="str">
        <f>CONCATENATE(기본사항!G2,".01.01"," (당기초)")</f>
        <v>2011.01.01 (당기초)</v>
      </c>
      <c r="B15" s="163">
        <f>B14</f>
        <v>0</v>
      </c>
      <c r="C15" s="163">
        <f t="shared" ref="C15:F15" si="1">C14</f>
        <v>0</v>
      </c>
      <c r="D15" s="163">
        <f t="shared" si="1"/>
        <v>0</v>
      </c>
      <c r="E15" s="166">
        <f t="shared" si="1"/>
        <v>0</v>
      </c>
      <c r="F15" s="163">
        <f t="shared" si="1"/>
        <v>0</v>
      </c>
      <c r="G15" s="163">
        <f>SUM(B15:F15)</f>
        <v>0</v>
      </c>
    </row>
    <row r="16" spans="1:7" s="1" customFormat="1" ht="22.5" customHeight="1">
      <c r="A16" s="146" t="s">
        <v>532</v>
      </c>
      <c r="B16" s="163"/>
      <c r="C16" s="163"/>
      <c r="D16" s="163"/>
      <c r="E16" s="166"/>
      <c r="F16" s="163"/>
      <c r="G16" s="163">
        <f>SUM(B16:F16)</f>
        <v>0</v>
      </c>
    </row>
    <row r="17" spans="1:7" s="1" customFormat="1" ht="22.5" customHeight="1">
      <c r="A17" s="146" t="s">
        <v>606</v>
      </c>
      <c r="B17" s="163"/>
      <c r="C17" s="163"/>
      <c r="D17" s="163"/>
      <c r="E17" s="166"/>
      <c r="F17" s="163"/>
      <c r="G17" s="163">
        <f>SUM(B17:F17)</f>
        <v>0</v>
      </c>
    </row>
    <row r="18" spans="1:7" s="1" customFormat="1" ht="22.5" customHeight="1">
      <c r="A18" s="146" t="s">
        <v>607</v>
      </c>
      <c r="B18" s="163"/>
      <c r="C18" s="163"/>
      <c r="D18" s="163"/>
      <c r="E18" s="166"/>
      <c r="F18" s="163"/>
      <c r="G18" s="163">
        <f>SUM(B18:F18)</f>
        <v>0</v>
      </c>
    </row>
    <row r="19" spans="1:7" s="1" customFormat="1" ht="22.5" customHeight="1">
      <c r="A19" s="146" t="s">
        <v>608</v>
      </c>
      <c r="B19" s="163"/>
      <c r="C19" s="163"/>
      <c r="D19" s="163"/>
      <c r="E19" s="166"/>
      <c r="F19" s="163"/>
      <c r="G19" s="163">
        <f>SUM(B19:F19)</f>
        <v>0</v>
      </c>
    </row>
    <row r="20" spans="1:7" s="1" customFormat="1" ht="22.5" customHeight="1">
      <c r="A20" s="146" t="str">
        <f>CONCATENATE(기본사항!G2,".12.31"," (당기말)")</f>
        <v>2011.12.31 (당기말)</v>
      </c>
      <c r="B20" s="165">
        <f t="shared" ref="B20:G20" si="2">SUM(B15:B19)</f>
        <v>0</v>
      </c>
      <c r="C20" s="165">
        <f t="shared" si="2"/>
        <v>0</v>
      </c>
      <c r="D20" s="165">
        <f t="shared" si="2"/>
        <v>0</v>
      </c>
      <c r="E20" s="165">
        <f t="shared" si="2"/>
        <v>0</v>
      </c>
      <c r="F20" s="165">
        <f t="shared" si="2"/>
        <v>0</v>
      </c>
      <c r="G20" s="165">
        <f t="shared" si="2"/>
        <v>0</v>
      </c>
    </row>
    <row r="21" spans="1:7" s="1" customFormat="1" ht="12.75" customHeight="1">
      <c r="A21" s="142"/>
      <c r="B21" s="167"/>
      <c r="C21" s="167"/>
      <c r="D21" s="168"/>
      <c r="E21" s="169"/>
      <c r="F21" s="167"/>
      <c r="G21" s="167"/>
    </row>
    <row r="22" spans="1:7" s="1" customFormat="1" ht="22.5" customHeight="1">
      <c r="A22" s="170" t="s">
        <v>369</v>
      </c>
      <c r="B22" s="156"/>
      <c r="C22" s="156"/>
      <c r="D22" s="171"/>
      <c r="E22" s="171"/>
      <c r="F22" s="156"/>
      <c r="G22" s="156"/>
    </row>
    <row r="23" spans="1:7" s="1" customFormat="1" ht="18" customHeight="1">
      <c r="A23" s="159"/>
      <c r="B23" s="159"/>
      <c r="C23" s="159"/>
      <c r="D23" s="159"/>
      <c r="E23" s="159"/>
    </row>
    <row r="24" spans="1:7" s="1" customFormat="1" ht="18" customHeight="1">
      <c r="A24" s="159"/>
      <c r="B24" s="159"/>
      <c r="C24" s="159"/>
      <c r="D24" s="159"/>
      <c r="E24" s="159"/>
    </row>
    <row r="25" spans="1:7" s="1" customFormat="1" ht="18" customHeight="1">
      <c r="A25" s="159"/>
      <c r="B25" s="159"/>
      <c r="C25" s="159"/>
      <c r="D25" s="159"/>
      <c r="E25" s="159"/>
    </row>
    <row r="26" spans="1:7" s="1" customFormat="1" ht="18" customHeight="1">
      <c r="A26" s="159"/>
      <c r="B26" s="159"/>
      <c r="C26" s="159"/>
      <c r="D26" s="159"/>
      <c r="E26" s="159"/>
    </row>
    <row r="27" spans="1:7" s="1" customFormat="1" ht="18" customHeight="1">
      <c r="A27" s="159"/>
      <c r="B27" s="159"/>
      <c r="C27" s="159"/>
      <c r="D27" s="159"/>
      <c r="E27" s="159"/>
    </row>
    <row r="28" spans="1:7" s="1" customFormat="1" ht="18" customHeight="1">
      <c r="A28" s="159"/>
      <c r="B28" s="159"/>
      <c r="C28" s="159"/>
      <c r="D28" s="159"/>
      <c r="E28" s="159"/>
    </row>
    <row r="29" spans="1:7" s="1" customFormat="1" ht="18" customHeight="1">
      <c r="A29" s="159"/>
      <c r="B29" s="159"/>
      <c r="C29" s="159"/>
      <c r="D29" s="159"/>
      <c r="E29" s="159"/>
    </row>
    <row r="30" spans="1:7" s="1" customFormat="1" ht="18" customHeight="1">
      <c r="A30" s="159"/>
      <c r="B30" s="159"/>
      <c r="C30" s="159"/>
      <c r="D30" s="159"/>
      <c r="E30" s="159"/>
    </row>
    <row r="31" spans="1:7" s="1" customFormat="1" ht="18" customHeight="1">
      <c r="A31" s="159"/>
      <c r="B31" s="159"/>
      <c r="C31" s="159"/>
      <c r="D31" s="159"/>
      <c r="E31" s="159"/>
    </row>
    <row r="32" spans="1:7" s="1" customFormat="1" ht="18" customHeight="1">
      <c r="A32" s="159"/>
      <c r="B32" s="159"/>
      <c r="C32" s="159"/>
      <c r="D32" s="159"/>
      <c r="E32" s="159"/>
    </row>
    <row r="33" spans="1:5" s="1" customFormat="1" ht="18" customHeight="1">
      <c r="A33" s="159"/>
      <c r="B33" s="159"/>
      <c r="C33" s="159"/>
      <c r="D33" s="159"/>
      <c r="E33" s="159"/>
    </row>
    <row r="34" spans="1:5" s="1" customFormat="1" ht="18" customHeight="1">
      <c r="A34" s="159"/>
      <c r="B34" s="159"/>
      <c r="C34" s="159"/>
      <c r="D34" s="159"/>
      <c r="E34" s="159"/>
    </row>
    <row r="35" spans="1:5" s="1" customFormat="1" ht="18" customHeight="1">
      <c r="A35" s="159"/>
      <c r="B35" s="159"/>
      <c r="C35" s="159"/>
      <c r="D35" s="159"/>
      <c r="E35" s="159"/>
    </row>
    <row r="36" spans="1:5" s="1" customFormat="1" ht="18" customHeight="1">
      <c r="A36" s="159"/>
      <c r="B36" s="159"/>
      <c r="C36" s="159"/>
      <c r="D36" s="159"/>
      <c r="E36" s="159"/>
    </row>
    <row r="37" spans="1:5" s="1" customFormat="1" ht="18" customHeight="1">
      <c r="A37" s="159"/>
      <c r="B37" s="159"/>
      <c r="C37" s="159"/>
      <c r="D37" s="159"/>
      <c r="E37" s="159"/>
    </row>
    <row r="38" spans="1:5" s="1" customFormat="1" ht="18" customHeight="1">
      <c r="A38" s="159"/>
      <c r="B38" s="159"/>
      <c r="C38" s="159"/>
      <c r="D38" s="159"/>
      <c r="E38" s="159"/>
    </row>
    <row r="39" spans="1:5" s="1" customFormat="1" ht="18" customHeight="1">
      <c r="A39" s="159"/>
      <c r="B39" s="159"/>
      <c r="C39" s="159"/>
      <c r="D39" s="159"/>
      <c r="E39" s="159"/>
    </row>
    <row r="40" spans="1:5" s="1" customFormat="1" ht="18" customHeight="1">
      <c r="A40" s="159"/>
      <c r="B40" s="159"/>
      <c r="C40" s="159"/>
      <c r="D40" s="159"/>
      <c r="E40" s="159"/>
    </row>
    <row r="41" spans="1:5" s="1" customFormat="1" ht="18" customHeight="1">
      <c r="A41" s="159"/>
      <c r="B41" s="159"/>
      <c r="C41" s="159"/>
      <c r="D41" s="159"/>
      <c r="E41" s="159"/>
    </row>
    <row r="42" spans="1:5" s="1" customFormat="1" ht="18" customHeight="1">
      <c r="A42" s="159"/>
      <c r="B42" s="159"/>
      <c r="C42" s="159"/>
      <c r="D42" s="159"/>
      <c r="E42" s="159"/>
    </row>
    <row r="43" spans="1:5" s="1" customFormat="1" ht="18" customHeight="1">
      <c r="A43" s="159"/>
      <c r="B43" s="159"/>
      <c r="C43" s="159"/>
      <c r="D43" s="159"/>
      <c r="E43" s="159"/>
    </row>
    <row r="44" spans="1:5" s="1" customFormat="1" ht="18" customHeight="1">
      <c r="A44" s="159"/>
      <c r="B44" s="159"/>
      <c r="C44" s="159"/>
      <c r="D44" s="159"/>
      <c r="E44" s="159"/>
    </row>
    <row r="45" spans="1:5" s="1" customFormat="1" ht="18" customHeight="1">
      <c r="A45" s="159"/>
      <c r="B45" s="159"/>
      <c r="C45" s="159"/>
      <c r="D45" s="159"/>
      <c r="E45" s="159"/>
    </row>
    <row r="46" spans="1:5" s="1" customFormat="1" ht="18" customHeight="1">
      <c r="A46" s="159"/>
      <c r="B46" s="159"/>
      <c r="C46" s="159"/>
      <c r="D46" s="159"/>
      <c r="E46" s="159"/>
    </row>
    <row r="47" spans="1:5" s="1" customFormat="1" ht="18" customHeight="1">
      <c r="A47" s="159"/>
      <c r="B47" s="159"/>
      <c r="C47" s="159"/>
      <c r="D47" s="159"/>
      <c r="E47" s="159"/>
    </row>
    <row r="48" spans="1:5" s="1" customFormat="1" ht="18" customHeight="1">
      <c r="A48" s="159"/>
      <c r="B48" s="159"/>
      <c r="C48" s="159"/>
      <c r="D48" s="159"/>
      <c r="E48" s="159"/>
    </row>
    <row r="49" spans="1:5" s="1" customFormat="1" ht="18" customHeight="1">
      <c r="A49" s="159"/>
      <c r="B49" s="159"/>
      <c r="C49" s="159"/>
      <c r="D49" s="159"/>
      <c r="E49" s="159"/>
    </row>
    <row r="50" spans="1:5" s="1" customFormat="1" ht="18" customHeight="1">
      <c r="A50" s="159"/>
      <c r="B50" s="159"/>
      <c r="C50" s="159"/>
      <c r="D50" s="159"/>
      <c r="E50" s="159"/>
    </row>
    <row r="51" spans="1:5" s="1" customFormat="1" ht="18" customHeight="1">
      <c r="A51" s="159"/>
      <c r="B51" s="159"/>
      <c r="C51" s="159"/>
      <c r="D51" s="159"/>
      <c r="E51" s="159"/>
    </row>
    <row r="52" spans="1:5" s="1" customFormat="1" ht="18" customHeight="1">
      <c r="A52" s="159"/>
      <c r="B52" s="159"/>
      <c r="C52" s="159"/>
      <c r="D52" s="159"/>
      <c r="E52" s="159"/>
    </row>
    <row r="53" spans="1:5" s="1" customFormat="1" ht="18" customHeight="1">
      <c r="A53" s="159"/>
      <c r="B53" s="159"/>
      <c r="C53" s="159"/>
      <c r="D53" s="159"/>
      <c r="E53" s="159"/>
    </row>
    <row r="54" spans="1:5" s="1" customFormat="1" ht="18" customHeight="1">
      <c r="A54" s="159"/>
      <c r="B54" s="159"/>
      <c r="C54" s="159"/>
      <c r="D54" s="159"/>
      <c r="E54" s="159"/>
    </row>
    <row r="55" spans="1:5" s="1" customFormat="1" ht="18" customHeight="1">
      <c r="A55" s="159"/>
      <c r="B55" s="159"/>
      <c r="C55" s="159"/>
      <c r="D55" s="159"/>
      <c r="E55" s="159"/>
    </row>
    <row r="56" spans="1:5" s="1" customFormat="1" ht="18" customHeight="1">
      <c r="A56" s="159"/>
      <c r="B56" s="159"/>
      <c r="C56" s="159"/>
      <c r="D56" s="159"/>
      <c r="E56" s="159"/>
    </row>
    <row r="57" spans="1:5" s="1" customFormat="1" ht="18" customHeight="1">
      <c r="A57" s="159"/>
      <c r="B57" s="159"/>
      <c r="C57" s="159"/>
      <c r="D57" s="159"/>
      <c r="E57" s="159"/>
    </row>
    <row r="58" spans="1:5" s="1" customFormat="1" ht="18" customHeight="1">
      <c r="A58" s="159"/>
      <c r="B58" s="159"/>
      <c r="C58" s="159"/>
      <c r="D58" s="159"/>
      <c r="E58" s="159"/>
    </row>
    <row r="59" spans="1:5" s="1" customFormat="1" ht="18" customHeight="1">
      <c r="A59" s="159"/>
      <c r="B59" s="159"/>
      <c r="C59" s="159"/>
      <c r="D59" s="159"/>
      <c r="E59" s="159"/>
    </row>
    <row r="60" spans="1:5" s="1" customFormat="1" ht="18" customHeight="1">
      <c r="A60" s="159"/>
      <c r="B60" s="159"/>
      <c r="C60" s="159"/>
      <c r="D60" s="159"/>
      <c r="E60" s="159"/>
    </row>
    <row r="61" spans="1:5" s="1" customFormat="1" ht="18" customHeight="1">
      <c r="A61" s="159"/>
      <c r="B61" s="159"/>
      <c r="C61" s="159"/>
      <c r="D61" s="159"/>
      <c r="E61" s="159"/>
    </row>
    <row r="62" spans="1:5" s="1" customFormat="1" ht="18" customHeight="1">
      <c r="A62" s="159"/>
      <c r="B62" s="159"/>
      <c r="C62" s="159"/>
      <c r="D62" s="159"/>
      <c r="E62" s="159"/>
    </row>
    <row r="63" spans="1:5" s="1" customFormat="1" ht="18" customHeight="1">
      <c r="A63" s="159"/>
      <c r="B63" s="159"/>
      <c r="C63" s="159"/>
      <c r="D63" s="159"/>
      <c r="E63" s="159"/>
    </row>
    <row r="64" spans="1:5" s="1" customFormat="1" ht="18" customHeight="1">
      <c r="A64" s="159"/>
      <c r="B64" s="159"/>
      <c r="C64" s="159"/>
      <c r="D64" s="159"/>
      <c r="E64" s="159"/>
    </row>
    <row r="65" spans="1:5" s="1" customFormat="1" ht="18" customHeight="1">
      <c r="A65" s="159"/>
      <c r="B65" s="159"/>
      <c r="C65" s="159"/>
      <c r="D65" s="159"/>
      <c r="E65" s="159"/>
    </row>
    <row r="66" spans="1:5" s="1" customFormat="1" ht="18" customHeight="1">
      <c r="A66" s="159"/>
      <c r="B66" s="159"/>
      <c r="C66" s="159"/>
      <c r="D66" s="159"/>
      <c r="E66" s="159"/>
    </row>
    <row r="67" spans="1:5" s="1" customFormat="1" ht="18" customHeight="1">
      <c r="A67" s="159"/>
      <c r="B67" s="159"/>
      <c r="C67" s="159"/>
      <c r="D67" s="159"/>
      <c r="E67" s="159"/>
    </row>
    <row r="68" spans="1:5" s="1" customFormat="1" ht="18" customHeight="1">
      <c r="A68" s="159"/>
      <c r="B68" s="159"/>
      <c r="C68" s="159"/>
      <c r="D68" s="159"/>
      <c r="E68" s="159"/>
    </row>
    <row r="69" spans="1:5" s="1" customFormat="1" ht="18" customHeight="1">
      <c r="A69" s="159"/>
      <c r="B69" s="159"/>
      <c r="C69" s="159"/>
      <c r="D69" s="159"/>
      <c r="E69" s="159"/>
    </row>
    <row r="70" spans="1:5" s="1" customFormat="1" ht="18" customHeight="1">
      <c r="A70" s="159"/>
      <c r="B70" s="159"/>
      <c r="C70" s="159"/>
      <c r="D70" s="159"/>
      <c r="E70" s="159"/>
    </row>
    <row r="71" spans="1:5" s="1" customFormat="1" ht="18" customHeight="1">
      <c r="A71" s="159"/>
      <c r="B71" s="159"/>
      <c r="C71" s="159"/>
      <c r="D71" s="159"/>
      <c r="E71" s="159"/>
    </row>
    <row r="72" spans="1:5" s="1" customFormat="1" ht="18" customHeight="1">
      <c r="A72" s="159"/>
      <c r="B72" s="159"/>
      <c r="C72" s="159"/>
      <c r="D72" s="159"/>
      <c r="E72" s="159"/>
    </row>
    <row r="73" spans="1:5" s="1" customFormat="1" ht="18" customHeight="1">
      <c r="A73" s="159"/>
      <c r="B73" s="159"/>
      <c r="C73" s="159"/>
      <c r="D73" s="159"/>
      <c r="E73" s="159"/>
    </row>
    <row r="74" spans="1:5" s="1" customFormat="1" ht="18" customHeight="1">
      <c r="A74" s="159"/>
      <c r="B74" s="159"/>
      <c r="C74" s="159"/>
      <c r="D74" s="159"/>
      <c r="E74" s="159"/>
    </row>
    <row r="75" spans="1:5" s="1" customFormat="1" ht="18" customHeight="1">
      <c r="A75" s="159"/>
      <c r="B75" s="159"/>
      <c r="C75" s="159"/>
      <c r="D75" s="159"/>
      <c r="E75" s="159"/>
    </row>
    <row r="76" spans="1:5" s="1" customFormat="1" ht="18" customHeight="1">
      <c r="A76" s="159"/>
      <c r="B76" s="159"/>
      <c r="C76" s="159"/>
      <c r="D76" s="159"/>
      <c r="E76" s="159"/>
    </row>
    <row r="77" spans="1:5" s="1" customFormat="1" ht="18" customHeight="1">
      <c r="A77" s="159"/>
      <c r="B77" s="159"/>
      <c r="C77" s="159"/>
      <c r="D77" s="159"/>
      <c r="E77" s="159"/>
    </row>
    <row r="78" spans="1:5" s="1" customFormat="1" ht="18" customHeight="1">
      <c r="A78" s="159"/>
      <c r="B78" s="159"/>
      <c r="C78" s="159"/>
      <c r="D78" s="159"/>
      <c r="E78" s="159"/>
    </row>
    <row r="79" spans="1:5" s="1" customFormat="1" ht="18" customHeight="1">
      <c r="A79" s="159"/>
      <c r="B79" s="159"/>
      <c r="C79" s="159"/>
      <c r="D79" s="159"/>
      <c r="E79" s="159"/>
    </row>
    <row r="80" spans="1:5" s="1" customFormat="1" ht="18" customHeight="1">
      <c r="A80" s="159"/>
      <c r="B80" s="159"/>
      <c r="C80" s="159"/>
      <c r="D80" s="159"/>
      <c r="E80" s="159"/>
    </row>
    <row r="81" spans="1:5" s="1" customFormat="1" ht="18" customHeight="1">
      <c r="A81" s="159"/>
      <c r="B81" s="159"/>
      <c r="C81" s="159"/>
      <c r="D81" s="159"/>
      <c r="E81" s="159"/>
    </row>
    <row r="82" spans="1:5" s="1" customFormat="1" ht="18" customHeight="1">
      <c r="A82" s="159"/>
      <c r="B82" s="159"/>
      <c r="C82" s="159"/>
      <c r="D82" s="159"/>
      <c r="E82" s="159"/>
    </row>
    <row r="83" spans="1:5" s="1" customFormat="1" ht="18" customHeight="1">
      <c r="A83" s="159"/>
      <c r="B83" s="159"/>
      <c r="C83" s="159"/>
      <c r="D83" s="159"/>
      <c r="E83" s="159"/>
    </row>
    <row r="84" spans="1:5" s="1" customFormat="1" ht="18" customHeight="1">
      <c r="A84" s="159"/>
      <c r="B84" s="159"/>
      <c r="C84" s="159"/>
      <c r="D84" s="159"/>
      <c r="E84" s="159"/>
    </row>
    <row r="85" spans="1:5" s="1" customFormat="1" ht="18" customHeight="1">
      <c r="A85" s="159"/>
      <c r="B85" s="159"/>
      <c r="C85" s="159"/>
      <c r="D85" s="159"/>
      <c r="E85" s="159"/>
    </row>
    <row r="86" spans="1:5" s="1" customFormat="1" ht="18" customHeight="1">
      <c r="A86" s="159"/>
      <c r="B86" s="159"/>
      <c r="C86" s="159"/>
      <c r="D86" s="159"/>
      <c r="E86" s="159"/>
    </row>
    <row r="87" spans="1:5" s="1" customFormat="1" ht="18" customHeight="1">
      <c r="A87" s="159"/>
      <c r="B87" s="159"/>
      <c r="C87" s="159"/>
      <c r="D87" s="159"/>
      <c r="E87" s="159"/>
    </row>
    <row r="88" spans="1:5" s="1" customFormat="1" ht="18" customHeight="1">
      <c r="A88" s="159"/>
      <c r="B88" s="159"/>
      <c r="C88" s="159"/>
      <c r="D88" s="159"/>
      <c r="E88" s="159"/>
    </row>
    <row r="89" spans="1:5" s="1" customFormat="1" ht="18" customHeight="1">
      <c r="A89" s="159"/>
      <c r="B89" s="159"/>
      <c r="C89" s="159"/>
      <c r="D89" s="159"/>
      <c r="E89" s="159"/>
    </row>
    <row r="90" spans="1:5" s="1" customFormat="1" ht="18" customHeight="1">
      <c r="A90" s="159"/>
      <c r="B90" s="159"/>
      <c r="C90" s="159"/>
      <c r="D90" s="159"/>
      <c r="E90" s="159"/>
    </row>
    <row r="91" spans="1:5" s="1" customFormat="1" ht="18" customHeight="1">
      <c r="A91" s="159"/>
      <c r="B91" s="159"/>
      <c r="C91" s="159"/>
      <c r="D91" s="159"/>
      <c r="E91" s="159"/>
    </row>
    <row r="92" spans="1:5" s="1" customFormat="1" ht="18" customHeight="1">
      <c r="A92" s="159"/>
      <c r="B92" s="159"/>
      <c r="C92" s="159"/>
      <c r="D92" s="159"/>
      <c r="E92" s="159"/>
    </row>
    <row r="93" spans="1:5" s="1" customFormat="1" ht="18" customHeight="1">
      <c r="A93" s="159"/>
      <c r="B93" s="159"/>
      <c r="C93" s="159"/>
      <c r="D93" s="159"/>
      <c r="E93" s="159"/>
    </row>
    <row r="94" spans="1:5" s="1" customFormat="1" ht="18" customHeight="1">
      <c r="A94" s="159"/>
      <c r="B94" s="159"/>
      <c r="C94" s="159"/>
      <c r="D94" s="159"/>
      <c r="E94" s="159"/>
    </row>
    <row r="95" spans="1:5" s="1" customFormat="1" ht="18" customHeight="1">
      <c r="A95" s="159"/>
      <c r="B95" s="159"/>
      <c r="C95" s="159"/>
      <c r="D95" s="159"/>
      <c r="E95" s="159"/>
    </row>
    <row r="96" spans="1:5" s="1" customFormat="1" ht="18" customHeight="1">
      <c r="A96" s="159"/>
      <c r="B96" s="159"/>
      <c r="C96" s="159"/>
      <c r="D96" s="159"/>
      <c r="E96" s="159"/>
    </row>
    <row r="97" spans="1:5" s="1" customFormat="1" ht="18" customHeight="1">
      <c r="A97" s="159"/>
      <c r="B97" s="159"/>
      <c r="C97" s="159"/>
      <c r="D97" s="159"/>
      <c r="E97" s="159"/>
    </row>
    <row r="98" spans="1:5" s="1" customFormat="1" ht="18" customHeight="1">
      <c r="A98" s="159"/>
      <c r="B98" s="159"/>
      <c r="C98" s="159"/>
      <c r="D98" s="159"/>
      <c r="E98" s="159"/>
    </row>
    <row r="99" spans="1:5" ht="18" customHeight="1">
      <c r="A99" s="159"/>
    </row>
    <row r="100" spans="1:5" ht="18" customHeight="1"/>
    <row r="101" spans="1:5" ht="18" customHeight="1"/>
    <row r="102" spans="1:5" ht="18" customHeight="1"/>
    <row r="103" spans="1:5" ht="18" customHeight="1"/>
    <row r="104" spans="1:5" ht="18" customHeight="1"/>
    <row r="105" spans="1:5" ht="18" customHeight="1"/>
    <row r="106" spans="1:5" ht="18" customHeight="1"/>
    <row r="107" spans="1:5" ht="18" customHeight="1"/>
    <row r="108" spans="1:5" ht="18" customHeight="1">
      <c r="B108" s="174"/>
      <c r="C108" s="174"/>
      <c r="D108" s="174"/>
      <c r="E108" s="174"/>
    </row>
    <row r="109" spans="1:5" ht="18" customHeight="1">
      <c r="A109" s="174"/>
      <c r="B109" s="174"/>
      <c r="C109" s="174"/>
      <c r="D109" s="174"/>
      <c r="E109" s="174"/>
    </row>
    <row r="110" spans="1:5" ht="18" customHeight="1">
      <c r="A110" s="174"/>
      <c r="B110" s="174"/>
      <c r="C110" s="174"/>
      <c r="D110" s="174"/>
      <c r="E110" s="174"/>
    </row>
    <row r="111" spans="1:5" ht="18" customHeight="1">
      <c r="A111" s="174"/>
      <c r="B111" s="174"/>
      <c r="C111" s="174"/>
      <c r="D111" s="174"/>
      <c r="E111" s="174"/>
    </row>
    <row r="112" spans="1:5" ht="18" customHeight="1">
      <c r="A112" s="174"/>
      <c r="B112" s="174"/>
      <c r="C112" s="174"/>
      <c r="D112" s="174"/>
      <c r="E112" s="174"/>
    </row>
    <row r="113" spans="1:5" ht="18" customHeight="1">
      <c r="A113" s="174"/>
      <c r="B113" s="174"/>
      <c r="C113" s="174"/>
      <c r="D113" s="174"/>
      <c r="E113" s="174"/>
    </row>
    <row r="114" spans="1:5" ht="18" customHeight="1">
      <c r="A114" s="174"/>
      <c r="B114" s="174"/>
      <c r="C114" s="174"/>
      <c r="D114" s="174"/>
      <c r="E114" s="174"/>
    </row>
    <row r="115" spans="1:5" ht="18" customHeight="1">
      <c r="A115" s="174"/>
      <c r="B115" s="174"/>
      <c r="C115" s="174"/>
      <c r="D115" s="174"/>
      <c r="E115" s="174"/>
    </row>
    <row r="116" spans="1:5" ht="18" customHeight="1">
      <c r="A116" s="174"/>
      <c r="B116" s="174"/>
      <c r="C116" s="174"/>
      <c r="D116" s="174"/>
      <c r="E116" s="174"/>
    </row>
    <row r="117" spans="1:5" ht="18" customHeight="1">
      <c r="A117" s="174"/>
      <c r="B117" s="174"/>
      <c r="C117" s="174"/>
      <c r="D117" s="174"/>
      <c r="E117" s="174"/>
    </row>
    <row r="118" spans="1:5" ht="18" customHeight="1">
      <c r="A118" s="174"/>
      <c r="B118" s="174"/>
      <c r="C118" s="174"/>
      <c r="D118" s="174"/>
      <c r="E118" s="174"/>
    </row>
    <row r="119" spans="1:5" ht="18" customHeight="1">
      <c r="A119" s="174"/>
      <c r="B119" s="174"/>
      <c r="C119" s="174"/>
      <c r="D119" s="174"/>
      <c r="E119" s="174"/>
    </row>
    <row r="120" spans="1:5" ht="18" customHeight="1">
      <c r="A120" s="174"/>
      <c r="B120" s="174"/>
      <c r="C120" s="174"/>
      <c r="D120" s="174"/>
      <c r="E120" s="174"/>
    </row>
    <row r="121" spans="1:5" ht="18" customHeight="1">
      <c r="A121" s="174"/>
      <c r="B121" s="174"/>
      <c r="C121" s="174"/>
      <c r="D121" s="174"/>
      <c r="E121" s="174"/>
    </row>
    <row r="122" spans="1:5" ht="18" customHeight="1">
      <c r="A122" s="174"/>
      <c r="B122" s="174"/>
      <c r="C122" s="174"/>
      <c r="D122" s="174"/>
      <c r="E122" s="174"/>
    </row>
    <row r="123" spans="1:5" ht="18" customHeight="1">
      <c r="A123" s="174"/>
      <c r="B123" s="174"/>
      <c r="C123" s="174"/>
      <c r="D123" s="174"/>
      <c r="E123" s="174"/>
    </row>
    <row r="124" spans="1:5" ht="18" customHeight="1">
      <c r="A124" s="174"/>
      <c r="B124" s="174"/>
      <c r="C124" s="174"/>
      <c r="D124" s="174"/>
      <c r="E124" s="174"/>
    </row>
    <row r="125" spans="1:5" ht="18" customHeight="1">
      <c r="A125" s="174"/>
      <c r="B125" s="174"/>
      <c r="C125" s="174"/>
      <c r="D125" s="174"/>
      <c r="E125" s="174"/>
    </row>
    <row r="126" spans="1:5" ht="18" customHeight="1">
      <c r="A126" s="174"/>
      <c r="B126" s="174"/>
      <c r="C126" s="174"/>
      <c r="D126" s="174"/>
      <c r="E126" s="174"/>
    </row>
    <row r="127" spans="1:5" ht="18" customHeight="1">
      <c r="A127" s="174"/>
      <c r="B127" s="174"/>
      <c r="C127" s="174"/>
      <c r="D127" s="174"/>
      <c r="E127" s="174"/>
    </row>
    <row r="128" spans="1:5" ht="18" customHeight="1">
      <c r="A128" s="174"/>
      <c r="B128" s="174"/>
      <c r="C128" s="174"/>
      <c r="D128" s="174"/>
      <c r="E128" s="174"/>
    </row>
    <row r="129" spans="1:5" ht="18" customHeight="1">
      <c r="A129" s="174"/>
      <c r="B129" s="174"/>
      <c r="C129" s="174"/>
      <c r="D129" s="174"/>
      <c r="E129" s="174"/>
    </row>
    <row r="130" spans="1:5" ht="18" customHeight="1">
      <c r="A130" s="174"/>
      <c r="B130" s="174"/>
      <c r="C130" s="174"/>
      <c r="D130" s="174"/>
      <c r="E130" s="174"/>
    </row>
    <row r="131" spans="1:5" ht="18" customHeight="1">
      <c r="A131" s="174"/>
      <c r="B131" s="174"/>
      <c r="C131" s="174"/>
      <c r="D131" s="174"/>
      <c r="E131" s="174"/>
    </row>
    <row r="132" spans="1:5" ht="18" customHeight="1">
      <c r="A132" s="174"/>
      <c r="B132" s="174"/>
      <c r="C132" s="174"/>
      <c r="D132" s="174"/>
      <c r="E132" s="174"/>
    </row>
    <row r="133" spans="1:5" ht="18" customHeight="1">
      <c r="A133" s="174"/>
      <c r="B133" s="174"/>
      <c r="C133" s="174"/>
      <c r="D133" s="174"/>
      <c r="E133" s="174"/>
    </row>
    <row r="134" spans="1:5" ht="18" customHeight="1">
      <c r="A134" s="174"/>
      <c r="B134" s="174"/>
      <c r="C134" s="174"/>
      <c r="D134" s="174"/>
      <c r="E134" s="174"/>
    </row>
    <row r="135" spans="1:5" ht="18" customHeight="1">
      <c r="A135" s="174"/>
      <c r="B135" s="174"/>
      <c r="C135" s="174"/>
      <c r="D135" s="174"/>
      <c r="E135" s="174"/>
    </row>
    <row r="136" spans="1:5" ht="18" customHeight="1">
      <c r="A136" s="174"/>
      <c r="B136" s="174"/>
      <c r="C136" s="174"/>
      <c r="D136" s="174"/>
      <c r="E136" s="174"/>
    </row>
    <row r="137" spans="1:5" ht="18" customHeight="1">
      <c r="A137" s="174"/>
      <c r="B137" s="174"/>
      <c r="C137" s="174"/>
      <c r="D137" s="174"/>
      <c r="E137" s="174"/>
    </row>
    <row r="138" spans="1:5" ht="18" customHeight="1">
      <c r="A138" s="174"/>
      <c r="B138" s="174"/>
      <c r="C138" s="174"/>
      <c r="D138" s="174"/>
      <c r="E138" s="174"/>
    </row>
    <row r="139" spans="1:5" ht="18" customHeight="1">
      <c r="A139" s="174"/>
      <c r="B139" s="174"/>
      <c r="C139" s="174"/>
      <c r="D139" s="174"/>
      <c r="E139" s="174"/>
    </row>
    <row r="140" spans="1:5" ht="18" customHeight="1">
      <c r="A140" s="174"/>
      <c r="B140" s="174"/>
      <c r="C140" s="174"/>
      <c r="D140" s="174"/>
      <c r="E140" s="174"/>
    </row>
    <row r="141" spans="1:5" ht="18" customHeight="1">
      <c r="A141" s="174"/>
      <c r="B141" s="174"/>
      <c r="C141" s="174"/>
      <c r="D141" s="174"/>
      <c r="E141" s="174"/>
    </row>
    <row r="142" spans="1:5" ht="18" customHeight="1">
      <c r="A142" s="174"/>
      <c r="B142" s="174"/>
      <c r="C142" s="174"/>
      <c r="D142" s="174"/>
      <c r="E142" s="174"/>
    </row>
    <row r="143" spans="1:5" ht="18" customHeight="1">
      <c r="A143" s="174"/>
      <c r="B143" s="174"/>
      <c r="C143" s="174"/>
      <c r="D143" s="174"/>
      <c r="E143" s="174"/>
    </row>
    <row r="144" spans="1:5" ht="18" customHeight="1">
      <c r="A144" s="174"/>
      <c r="B144" s="174"/>
      <c r="C144" s="174"/>
      <c r="D144" s="174"/>
      <c r="E144" s="174"/>
    </row>
    <row r="145" spans="1:5" ht="18" customHeight="1">
      <c r="A145" s="174"/>
      <c r="B145" s="174"/>
      <c r="C145" s="174"/>
      <c r="D145" s="174"/>
      <c r="E145" s="174"/>
    </row>
    <row r="146" spans="1:5" ht="18" customHeight="1">
      <c r="A146" s="174"/>
      <c r="B146" s="174"/>
      <c r="C146" s="174"/>
      <c r="D146" s="174"/>
      <c r="E146" s="174"/>
    </row>
    <row r="147" spans="1:5" ht="18" customHeight="1">
      <c r="A147" s="174"/>
      <c r="B147" s="174"/>
      <c r="C147" s="174"/>
      <c r="D147" s="174"/>
      <c r="E147" s="174"/>
    </row>
    <row r="148" spans="1:5" ht="18" customHeight="1">
      <c r="A148" s="174"/>
      <c r="B148" s="174"/>
      <c r="C148" s="174"/>
      <c r="D148" s="174"/>
      <c r="E148" s="174"/>
    </row>
    <row r="149" spans="1:5" ht="18" customHeight="1">
      <c r="A149" s="174"/>
      <c r="B149" s="174"/>
      <c r="C149" s="174"/>
      <c r="D149" s="174"/>
      <c r="E149" s="174"/>
    </row>
    <row r="150" spans="1:5" ht="18" customHeight="1">
      <c r="A150" s="174"/>
      <c r="B150" s="174"/>
      <c r="C150" s="174"/>
      <c r="D150" s="174"/>
      <c r="E150" s="174"/>
    </row>
    <row r="151" spans="1:5" ht="18" customHeight="1">
      <c r="A151" s="174"/>
      <c r="B151" s="174"/>
      <c r="C151" s="174"/>
      <c r="D151" s="174"/>
      <c r="E151" s="174"/>
    </row>
    <row r="152" spans="1:5" ht="18" customHeight="1">
      <c r="A152" s="174"/>
      <c r="B152" s="174"/>
      <c r="C152" s="174"/>
      <c r="D152" s="174"/>
      <c r="E152" s="174"/>
    </row>
    <row r="153" spans="1:5" ht="18" customHeight="1">
      <c r="A153" s="174"/>
      <c r="B153" s="174"/>
      <c r="C153" s="174"/>
      <c r="D153" s="174"/>
      <c r="E153" s="174"/>
    </row>
    <row r="154" spans="1:5" ht="18" customHeight="1">
      <c r="A154" s="174"/>
      <c r="B154" s="174"/>
      <c r="C154" s="174"/>
      <c r="D154" s="174"/>
      <c r="E154" s="174"/>
    </row>
    <row r="155" spans="1:5" ht="18" customHeight="1">
      <c r="A155" s="174"/>
      <c r="B155" s="174"/>
      <c r="C155" s="174"/>
      <c r="D155" s="174"/>
      <c r="E155" s="174"/>
    </row>
    <row r="156" spans="1:5" ht="18" customHeight="1">
      <c r="A156" s="174"/>
      <c r="B156" s="174"/>
      <c r="C156" s="174"/>
      <c r="D156" s="174"/>
      <c r="E156" s="174"/>
    </row>
    <row r="157" spans="1:5" ht="18" customHeight="1">
      <c r="A157" s="174"/>
      <c r="B157" s="174"/>
      <c r="C157" s="174"/>
      <c r="D157" s="174"/>
      <c r="E157" s="174"/>
    </row>
    <row r="158" spans="1:5" ht="18" customHeight="1">
      <c r="A158" s="174"/>
      <c r="B158" s="174"/>
      <c r="C158" s="174"/>
      <c r="D158" s="174"/>
      <c r="E158" s="174"/>
    </row>
    <row r="159" spans="1:5" ht="18" customHeight="1">
      <c r="A159" s="174"/>
      <c r="B159" s="174"/>
      <c r="C159" s="174"/>
      <c r="D159" s="174"/>
      <c r="E159" s="174"/>
    </row>
    <row r="160" spans="1:5" ht="18" customHeight="1">
      <c r="A160" s="174"/>
      <c r="B160" s="174"/>
      <c r="C160" s="174"/>
      <c r="D160" s="174"/>
      <c r="E160" s="174"/>
    </row>
    <row r="161" spans="1:5" ht="18" customHeight="1">
      <c r="A161" s="174"/>
      <c r="B161" s="174"/>
      <c r="C161" s="174"/>
      <c r="D161" s="174"/>
      <c r="E161" s="174"/>
    </row>
    <row r="162" spans="1:5" ht="18" customHeight="1">
      <c r="A162" s="174"/>
      <c r="B162" s="174"/>
      <c r="C162" s="174"/>
      <c r="D162" s="174"/>
      <c r="E162" s="174"/>
    </row>
    <row r="163" spans="1:5" ht="18" customHeight="1">
      <c r="A163" s="174"/>
      <c r="B163" s="174"/>
      <c r="C163" s="174"/>
      <c r="D163" s="174"/>
      <c r="E163" s="174"/>
    </row>
    <row r="164" spans="1:5" ht="18" customHeight="1">
      <c r="A164" s="174"/>
      <c r="B164" s="174"/>
      <c r="C164" s="174"/>
      <c r="D164" s="174"/>
      <c r="E164" s="174"/>
    </row>
    <row r="165" spans="1:5" ht="18" customHeight="1">
      <c r="A165" s="174"/>
      <c r="B165" s="174"/>
      <c r="C165" s="174"/>
      <c r="D165" s="174"/>
      <c r="E165" s="174"/>
    </row>
    <row r="166" spans="1:5" ht="18" customHeight="1">
      <c r="A166" s="174"/>
      <c r="B166" s="174"/>
      <c r="C166" s="174"/>
      <c r="D166" s="174"/>
      <c r="E166" s="174"/>
    </row>
    <row r="167" spans="1:5" ht="18" customHeight="1">
      <c r="A167" s="174"/>
      <c r="B167" s="174"/>
      <c r="C167" s="174"/>
      <c r="D167" s="174"/>
      <c r="E167" s="174"/>
    </row>
    <row r="168" spans="1:5" ht="18" customHeight="1">
      <c r="A168" s="174"/>
      <c r="B168" s="174"/>
      <c r="C168" s="174"/>
      <c r="D168" s="174"/>
      <c r="E168" s="174"/>
    </row>
    <row r="169" spans="1:5" ht="18" customHeight="1">
      <c r="A169" s="174"/>
      <c r="B169" s="174"/>
      <c r="C169" s="174"/>
      <c r="D169" s="174"/>
      <c r="E169" s="174"/>
    </row>
    <row r="170" spans="1:5" ht="18" customHeight="1">
      <c r="A170" s="174"/>
      <c r="B170" s="174"/>
      <c r="C170" s="174"/>
      <c r="D170" s="174"/>
      <c r="E170" s="174"/>
    </row>
    <row r="171" spans="1:5" ht="18" customHeight="1">
      <c r="A171" s="174"/>
      <c r="B171" s="174"/>
      <c r="C171" s="174"/>
      <c r="D171" s="174"/>
      <c r="E171" s="174"/>
    </row>
    <row r="172" spans="1:5" ht="18" customHeight="1">
      <c r="A172" s="174"/>
      <c r="B172" s="174"/>
      <c r="C172" s="174"/>
      <c r="D172" s="174"/>
      <c r="E172" s="174"/>
    </row>
    <row r="173" spans="1:5" ht="18" customHeight="1">
      <c r="A173" s="174"/>
      <c r="B173" s="174"/>
      <c r="C173" s="174"/>
      <c r="D173" s="174"/>
      <c r="E173" s="174"/>
    </row>
    <row r="174" spans="1:5" ht="18" customHeight="1">
      <c r="A174" s="174"/>
      <c r="B174" s="174"/>
      <c r="C174" s="174"/>
      <c r="D174" s="174"/>
      <c r="E174" s="174"/>
    </row>
    <row r="175" spans="1:5" ht="18" customHeight="1">
      <c r="A175" s="174"/>
      <c r="B175" s="174"/>
      <c r="C175" s="174"/>
      <c r="D175" s="174"/>
      <c r="E175" s="174"/>
    </row>
    <row r="176" spans="1:5" ht="18" customHeight="1">
      <c r="A176" s="174"/>
      <c r="B176" s="174"/>
      <c r="C176" s="174"/>
      <c r="D176" s="174"/>
      <c r="E176" s="174"/>
    </row>
    <row r="177" spans="1:5" ht="18" customHeight="1">
      <c r="A177" s="174"/>
      <c r="B177" s="174"/>
      <c r="C177" s="174"/>
      <c r="D177" s="174"/>
      <c r="E177" s="174"/>
    </row>
    <row r="178" spans="1:5" ht="18" customHeight="1">
      <c r="A178" s="174"/>
      <c r="B178" s="174"/>
      <c r="C178" s="174"/>
      <c r="D178" s="174"/>
      <c r="E178" s="174"/>
    </row>
    <row r="179" spans="1:5" ht="18" customHeight="1">
      <c r="A179" s="174"/>
      <c r="B179" s="174"/>
      <c r="C179" s="174"/>
      <c r="D179" s="174"/>
      <c r="E179" s="174"/>
    </row>
    <row r="180" spans="1:5" ht="18" customHeight="1">
      <c r="A180" s="174"/>
      <c r="B180" s="174"/>
      <c r="C180" s="174"/>
      <c r="D180" s="174"/>
      <c r="E180" s="174"/>
    </row>
    <row r="181" spans="1:5" ht="18" customHeight="1">
      <c r="A181" s="174"/>
      <c r="B181" s="174"/>
      <c r="C181" s="174"/>
      <c r="D181" s="174"/>
      <c r="E181" s="174"/>
    </row>
    <row r="182" spans="1:5" ht="18" customHeight="1">
      <c r="A182" s="174"/>
      <c r="B182" s="174"/>
      <c r="C182" s="174"/>
      <c r="D182" s="174"/>
      <c r="E182" s="174"/>
    </row>
    <row r="183" spans="1:5" ht="18" customHeight="1">
      <c r="A183" s="174"/>
      <c r="B183" s="174"/>
      <c r="C183" s="174"/>
      <c r="D183" s="174"/>
      <c r="E183" s="174"/>
    </row>
    <row r="184" spans="1:5" ht="18" customHeight="1">
      <c r="A184" s="174"/>
      <c r="B184" s="174"/>
      <c r="C184" s="174"/>
      <c r="D184" s="174"/>
      <c r="E184" s="174"/>
    </row>
    <row r="185" spans="1:5" ht="18" customHeight="1">
      <c r="A185" s="174"/>
      <c r="B185" s="174"/>
      <c r="C185" s="174"/>
      <c r="D185" s="174"/>
      <c r="E185" s="174"/>
    </row>
    <row r="186" spans="1:5" ht="18" customHeight="1">
      <c r="A186" s="174"/>
      <c r="B186" s="174"/>
      <c r="C186" s="174"/>
      <c r="D186" s="174"/>
      <c r="E186" s="174"/>
    </row>
    <row r="187" spans="1:5" ht="18" customHeight="1">
      <c r="A187" s="174"/>
      <c r="B187" s="174"/>
      <c r="C187" s="174"/>
      <c r="D187" s="174"/>
      <c r="E187" s="174"/>
    </row>
    <row r="188" spans="1:5" ht="18" customHeight="1">
      <c r="A188" s="174"/>
      <c r="B188" s="174"/>
      <c r="C188" s="174"/>
      <c r="D188" s="174"/>
      <c r="E188" s="174"/>
    </row>
    <row r="189" spans="1:5" ht="18" customHeight="1">
      <c r="A189" s="174"/>
      <c r="B189" s="174"/>
      <c r="C189" s="174"/>
      <c r="D189" s="174"/>
      <c r="E189" s="174"/>
    </row>
    <row r="190" spans="1:5" ht="18" customHeight="1">
      <c r="A190" s="174"/>
      <c r="B190" s="174"/>
      <c r="C190" s="174"/>
      <c r="D190" s="174"/>
      <c r="E190" s="174"/>
    </row>
    <row r="191" spans="1:5" ht="18" customHeight="1">
      <c r="A191" s="174"/>
      <c r="B191" s="174"/>
      <c r="C191" s="174"/>
      <c r="D191" s="174"/>
      <c r="E191" s="174"/>
    </row>
    <row r="192" spans="1:5" ht="18" customHeight="1">
      <c r="A192" s="174"/>
      <c r="B192" s="174"/>
      <c r="C192" s="174"/>
      <c r="D192" s="174"/>
      <c r="E192" s="174"/>
    </row>
    <row r="193" spans="1:5" ht="18" customHeight="1">
      <c r="A193" s="174"/>
      <c r="B193" s="174"/>
      <c r="C193" s="174"/>
      <c r="D193" s="174"/>
      <c r="E193" s="174"/>
    </row>
    <row r="194" spans="1:5" ht="18" customHeight="1">
      <c r="A194" s="174"/>
      <c r="B194" s="174"/>
      <c r="C194" s="174"/>
      <c r="D194" s="174"/>
      <c r="E194" s="174"/>
    </row>
    <row r="195" spans="1:5" ht="18" customHeight="1">
      <c r="A195" s="174"/>
      <c r="B195" s="174"/>
      <c r="C195" s="174"/>
      <c r="D195" s="174"/>
      <c r="E195" s="174"/>
    </row>
    <row r="196" spans="1:5" ht="18" customHeight="1">
      <c r="A196" s="174"/>
      <c r="B196" s="174"/>
      <c r="C196" s="174"/>
      <c r="D196" s="174"/>
      <c r="E196" s="174"/>
    </row>
    <row r="197" spans="1:5" ht="18" customHeight="1">
      <c r="A197" s="174"/>
      <c r="B197" s="174"/>
      <c r="C197" s="174"/>
      <c r="D197" s="174"/>
      <c r="E197" s="174"/>
    </row>
    <row r="198" spans="1:5" ht="18" customHeight="1">
      <c r="A198" s="174"/>
      <c r="B198" s="174"/>
      <c r="C198" s="174"/>
      <c r="D198" s="174"/>
      <c r="E198" s="174"/>
    </row>
    <row r="199" spans="1:5" ht="18" customHeight="1">
      <c r="A199" s="174"/>
      <c r="B199" s="174"/>
      <c r="C199" s="174"/>
      <c r="D199" s="174"/>
      <c r="E199" s="174"/>
    </row>
    <row r="200" spans="1:5" ht="18" customHeight="1">
      <c r="A200" s="174"/>
      <c r="B200" s="174"/>
      <c r="C200" s="174"/>
      <c r="D200" s="174"/>
      <c r="E200" s="174"/>
    </row>
    <row r="201" spans="1:5" ht="18" customHeight="1">
      <c r="A201" s="174"/>
      <c r="B201" s="174"/>
      <c r="C201" s="174"/>
      <c r="D201" s="174"/>
      <c r="E201" s="174"/>
    </row>
    <row r="202" spans="1:5" ht="18" customHeight="1">
      <c r="A202" s="174"/>
      <c r="B202" s="174"/>
      <c r="C202" s="174"/>
      <c r="D202" s="174"/>
      <c r="E202" s="174"/>
    </row>
    <row r="203" spans="1:5" ht="18" customHeight="1">
      <c r="A203" s="174"/>
      <c r="B203" s="174"/>
      <c r="C203" s="174"/>
      <c r="D203" s="174"/>
      <c r="E203" s="174"/>
    </row>
    <row r="204" spans="1:5" ht="18" customHeight="1">
      <c r="A204" s="174"/>
      <c r="B204" s="174"/>
      <c r="C204" s="174"/>
      <c r="D204" s="174"/>
      <c r="E204" s="174"/>
    </row>
    <row r="205" spans="1:5" ht="18" customHeight="1">
      <c r="A205" s="174"/>
      <c r="B205" s="174"/>
      <c r="C205" s="174"/>
      <c r="D205" s="174"/>
      <c r="E205" s="174"/>
    </row>
    <row r="206" spans="1:5" ht="18" customHeight="1">
      <c r="A206" s="174"/>
      <c r="B206" s="174"/>
      <c r="C206" s="174"/>
      <c r="D206" s="174"/>
      <c r="E206" s="174"/>
    </row>
    <row r="207" spans="1:5" ht="18" customHeight="1">
      <c r="A207" s="174"/>
      <c r="B207" s="174"/>
      <c r="C207" s="174"/>
      <c r="D207" s="174"/>
      <c r="E207" s="174"/>
    </row>
    <row r="208" spans="1:5" ht="18" customHeight="1">
      <c r="A208" s="174"/>
      <c r="B208" s="174"/>
      <c r="C208" s="174"/>
      <c r="D208" s="174"/>
      <c r="E208" s="174"/>
    </row>
    <row r="209" spans="1:5" ht="18" customHeight="1">
      <c r="A209" s="174"/>
      <c r="B209" s="174"/>
      <c r="C209" s="174"/>
      <c r="D209" s="174"/>
      <c r="E209" s="174"/>
    </row>
    <row r="210" spans="1:5" ht="18" customHeight="1">
      <c r="A210" s="174"/>
      <c r="B210" s="174"/>
      <c r="C210" s="174"/>
      <c r="D210" s="174"/>
      <c r="E210" s="174"/>
    </row>
    <row r="211" spans="1:5" ht="18" customHeight="1">
      <c r="A211" s="174"/>
      <c r="B211" s="174"/>
      <c r="C211" s="174"/>
      <c r="D211" s="174"/>
      <c r="E211" s="174"/>
    </row>
    <row r="212" spans="1:5" ht="18" customHeight="1">
      <c r="A212" s="174"/>
      <c r="B212" s="174"/>
      <c r="C212" s="174"/>
      <c r="D212" s="174"/>
      <c r="E212" s="174"/>
    </row>
    <row r="213" spans="1:5" ht="18" customHeight="1">
      <c r="A213" s="174"/>
      <c r="B213" s="174"/>
      <c r="C213" s="174"/>
      <c r="D213" s="174"/>
      <c r="E213" s="174"/>
    </row>
    <row r="214" spans="1:5" ht="18" customHeight="1">
      <c r="A214" s="174"/>
      <c r="B214" s="174"/>
      <c r="C214" s="174"/>
      <c r="D214" s="174"/>
      <c r="E214" s="174"/>
    </row>
    <row r="215" spans="1:5" ht="18" customHeight="1">
      <c r="A215" s="174"/>
      <c r="B215" s="174"/>
      <c r="C215" s="174"/>
      <c r="D215" s="174"/>
      <c r="E215" s="174"/>
    </row>
    <row r="216" spans="1:5" ht="18" customHeight="1">
      <c r="A216" s="174"/>
      <c r="B216" s="174"/>
      <c r="C216" s="174"/>
      <c r="D216" s="174"/>
      <c r="E216" s="174"/>
    </row>
    <row r="217" spans="1:5" ht="18" customHeight="1">
      <c r="A217" s="174"/>
      <c r="B217" s="174"/>
      <c r="C217" s="174"/>
      <c r="D217" s="174"/>
      <c r="E217" s="174"/>
    </row>
    <row r="218" spans="1:5" ht="18" customHeight="1">
      <c r="A218" s="174"/>
      <c r="B218" s="174"/>
      <c r="C218" s="174"/>
      <c r="D218" s="174"/>
      <c r="E218" s="174"/>
    </row>
    <row r="219" spans="1:5" ht="18" customHeight="1">
      <c r="A219" s="174"/>
      <c r="B219" s="174"/>
      <c r="C219" s="174"/>
      <c r="D219" s="174"/>
      <c r="E219" s="174"/>
    </row>
    <row r="220" spans="1:5" ht="18" customHeight="1">
      <c r="A220" s="174"/>
      <c r="B220" s="174"/>
      <c r="C220" s="174"/>
      <c r="D220" s="174"/>
      <c r="E220" s="174"/>
    </row>
    <row r="221" spans="1:5" ht="18" customHeight="1">
      <c r="A221" s="174"/>
      <c r="B221" s="174"/>
      <c r="C221" s="174"/>
      <c r="D221" s="174"/>
      <c r="E221" s="174"/>
    </row>
    <row r="222" spans="1:5" ht="18" customHeight="1">
      <c r="A222" s="174"/>
      <c r="B222" s="174"/>
      <c r="C222" s="174"/>
      <c r="D222" s="174"/>
      <c r="E222" s="174"/>
    </row>
    <row r="223" spans="1:5" ht="18" customHeight="1">
      <c r="A223" s="174"/>
      <c r="B223" s="174"/>
      <c r="C223" s="174"/>
      <c r="D223" s="174"/>
      <c r="E223" s="174"/>
    </row>
    <row r="224" spans="1:5" ht="18" customHeight="1">
      <c r="A224" s="174"/>
      <c r="B224" s="174"/>
      <c r="C224" s="174"/>
      <c r="D224" s="174"/>
      <c r="E224" s="174"/>
    </row>
    <row r="225" spans="1:5" ht="18" customHeight="1">
      <c r="A225" s="174"/>
      <c r="B225" s="174"/>
      <c r="C225" s="174"/>
      <c r="D225" s="174"/>
      <c r="E225" s="174"/>
    </row>
    <row r="226" spans="1:5" ht="18" customHeight="1">
      <c r="A226" s="174"/>
      <c r="B226" s="174"/>
      <c r="C226" s="174"/>
      <c r="D226" s="174"/>
      <c r="E226" s="174"/>
    </row>
    <row r="227" spans="1:5" ht="18" customHeight="1">
      <c r="A227" s="174"/>
      <c r="B227" s="174"/>
      <c r="C227" s="174"/>
      <c r="D227" s="174"/>
      <c r="E227" s="174"/>
    </row>
    <row r="228" spans="1:5" ht="18" customHeight="1">
      <c r="A228" s="174"/>
      <c r="B228" s="174"/>
      <c r="C228" s="174"/>
      <c r="D228" s="174"/>
      <c r="E228" s="174"/>
    </row>
    <row r="229" spans="1:5" ht="18" customHeight="1">
      <c r="A229" s="174"/>
      <c r="B229" s="174"/>
      <c r="C229" s="174"/>
      <c r="D229" s="174"/>
      <c r="E229" s="174"/>
    </row>
    <row r="230" spans="1:5" ht="18" customHeight="1">
      <c r="A230" s="174"/>
      <c r="B230" s="174"/>
      <c r="C230" s="174"/>
      <c r="D230" s="174"/>
      <c r="E230" s="174"/>
    </row>
    <row r="231" spans="1:5">
      <c r="A231" s="174"/>
    </row>
  </sheetData>
  <phoneticPr fontId="3" type="noConversion"/>
  <pageMargins left="0.7" right="0.7" top="0.75" bottom="0.75" header="0.3" footer="0.3"/>
  <pageSetup paperSize="9" scale="7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35">
    <tabColor rgb="FF00B050"/>
  </sheetPr>
  <dimension ref="A1:K58"/>
  <sheetViews>
    <sheetView topLeftCell="A7"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3.375" style="223" customWidth="1"/>
    <col min="13" max="13" width="2.125" style="223" customWidth="1"/>
    <col min="14" max="14" width="13.125" style="223" customWidth="1"/>
    <col min="15" max="15" width="2.5" style="223" customWidth="1"/>
    <col min="16" max="16" width="14.25" style="223" customWidth="1"/>
    <col min="17" max="16384" width="9" style="223"/>
  </cols>
  <sheetData>
    <row r="1" spans="1:11" ht="15.75" customHeight="1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374" t="s">
        <v>1</v>
      </c>
    </row>
    <row r="2" spans="1:11" ht="15.75" customHeight="1">
      <c r="A2" s="371" t="str">
        <f>TableofContents!$D$24</f>
        <v>자본계정</v>
      </c>
      <c r="B2" s="372"/>
      <c r="C2" s="372"/>
      <c r="D2" s="372"/>
      <c r="E2" s="372"/>
      <c r="F2" s="1274" t="str">
        <f>TableofContents!$B$24</f>
        <v>GG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1" ht="15.75" customHeight="1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</row>
    <row r="6" spans="1:11" ht="15.75" customHeight="1">
      <c r="D6" s="221">
        <f>기본사항!$C$11</f>
        <v>40543</v>
      </c>
      <c r="F6" s="447" t="s">
        <v>706</v>
      </c>
      <c r="G6" s="351"/>
      <c r="H6" s="447" t="s">
        <v>707</v>
      </c>
      <c r="J6" s="221">
        <f>기본사항!$C$12</f>
        <v>40908</v>
      </c>
    </row>
    <row r="7" spans="1:11" ht="15.75" customHeight="1">
      <c r="A7" s="254" t="str">
        <f>FS_worksheet!B98</f>
        <v>자본금</v>
      </c>
      <c r="B7" s="254"/>
      <c r="C7" s="254"/>
      <c r="D7" s="255">
        <f>SUM(D8)</f>
        <v>8253627122</v>
      </c>
      <c r="E7" s="255"/>
      <c r="F7" s="255"/>
      <c r="G7" s="256"/>
      <c r="H7" s="255"/>
      <c r="I7" s="255"/>
      <c r="J7" s="255">
        <f>SUM(J8)</f>
        <v>8383708189</v>
      </c>
    </row>
    <row r="8" spans="1:11" ht="15.75" customHeight="1">
      <c r="A8" s="230" t="str">
        <f>FS_worksheet!B99</f>
        <v>1.</v>
      </c>
      <c r="B8" s="231" t="str">
        <f>FS_worksheet!C99</f>
        <v xml:space="preserve">      출연금</v>
      </c>
      <c r="C8" s="230"/>
      <c r="D8" s="230">
        <f>VLOOKUP($B8,FS_worksheet!$C$11:$H$116,3,FALSE)</f>
        <v>8253627122</v>
      </c>
      <c r="E8" s="230"/>
      <c r="F8" s="230">
        <f>H8+J8-D8</f>
        <v>130081067</v>
      </c>
      <c r="G8" s="232"/>
      <c r="H8" s="230"/>
      <c r="I8" s="230"/>
      <c r="J8" s="230">
        <f>VLOOKUP($B8,FS_worksheet!$C$11:$H$116,5,FALSE)</f>
        <v>8383708189</v>
      </c>
      <c r="K8" s="233"/>
    </row>
    <row r="9" spans="1:11" ht="15.75" customHeight="1">
      <c r="A9" s="249"/>
      <c r="B9" s="236"/>
    </row>
    <row r="10" spans="1:11" ht="15.75" customHeight="1">
      <c r="A10" s="254" t="str">
        <f>FS_worksheet!B100</f>
        <v>자본잉여금</v>
      </c>
      <c r="B10" s="254"/>
      <c r="C10" s="254"/>
      <c r="D10" s="255" t="e">
        <f>SUM(D11)</f>
        <v>#REF!</v>
      </c>
      <c r="E10" s="255"/>
      <c r="F10" s="255"/>
      <c r="G10" s="256"/>
      <c r="H10" s="255"/>
      <c r="I10" s="255"/>
      <c r="J10" s="255" t="e">
        <f>SUM(J11)</f>
        <v>#REF!</v>
      </c>
    </row>
    <row r="11" spans="1:11" ht="15.75" customHeight="1">
      <c r="A11" s="230" t="str">
        <f>FS_worksheet!B101</f>
        <v>1.</v>
      </c>
      <c r="B11" s="231" t="e">
        <f>FS_worksheet!C101</f>
        <v>#REF!</v>
      </c>
      <c r="C11" s="230"/>
      <c r="D11" s="230" t="e">
        <f>VLOOKUP($B11,FS_worksheet!$C$11:$H$116,3,FALSE)</f>
        <v>#REF!</v>
      </c>
      <c r="E11" s="230"/>
      <c r="F11" s="230" t="e">
        <f>H11+J11-D11</f>
        <v>#REF!</v>
      </c>
      <c r="G11" s="232"/>
      <c r="H11" s="230"/>
      <c r="I11" s="230"/>
      <c r="J11" s="230" t="e">
        <f>VLOOKUP($B11,FS_worksheet!$C$11:$H$116,5,FALSE)</f>
        <v>#REF!</v>
      </c>
      <c r="K11" s="233"/>
    </row>
    <row r="12" spans="1:11" ht="15.75" customHeight="1">
      <c r="A12" s="249"/>
      <c r="B12" s="236"/>
    </row>
    <row r="13" spans="1:11" ht="15.75" customHeight="1">
      <c r="A13" s="254" t="str">
        <f>FS_worksheet!B102</f>
        <v>자본조정</v>
      </c>
      <c r="B13" s="254"/>
      <c r="C13" s="254"/>
      <c r="D13" s="255" t="e">
        <f>SUM(D14:D15)</f>
        <v>#REF!</v>
      </c>
      <c r="E13" s="255"/>
      <c r="F13" s="255"/>
      <c r="G13" s="256"/>
      <c r="H13" s="255"/>
      <c r="I13" s="255"/>
      <c r="J13" s="255" t="e">
        <f>SUM(J14:J15)</f>
        <v>#REF!</v>
      </c>
    </row>
    <row r="14" spans="1:11" ht="15.75" customHeight="1">
      <c r="A14" s="230" t="str">
        <f>FS_worksheet!B103</f>
        <v>1.</v>
      </c>
      <c r="B14" s="231" t="e">
        <f>FS_worksheet!C103</f>
        <v>#REF!</v>
      </c>
      <c r="C14" s="230"/>
      <c r="D14" s="230" t="e">
        <f>VLOOKUP($B14,FS_worksheet!$C$11:$H$116,3,FALSE)</f>
        <v>#REF!</v>
      </c>
      <c r="E14" s="230"/>
      <c r="F14" s="230" t="e">
        <f t="shared" ref="F14:F15" si="0">H14+J14-D14</f>
        <v>#REF!</v>
      </c>
      <c r="G14" s="232"/>
      <c r="H14" s="230"/>
      <c r="I14" s="230"/>
      <c r="J14" s="230" t="e">
        <f>VLOOKUP($B14,FS_worksheet!$C$11:$H$116,5,FALSE)</f>
        <v>#REF!</v>
      </c>
      <c r="K14" s="233"/>
    </row>
    <row r="15" spans="1:11" s="233" customFormat="1" ht="15.75" customHeight="1">
      <c r="A15" s="233" t="str">
        <f>FS_worksheet!B104</f>
        <v>2.</v>
      </c>
      <c r="B15" s="234" t="e">
        <f>FS_worksheet!C104</f>
        <v>#REF!</v>
      </c>
      <c r="D15" s="233" t="e">
        <f>VLOOKUP($B15,FS_worksheet!$C$11:$H$116,3,FALSE)</f>
        <v>#REF!</v>
      </c>
      <c r="F15" s="233" t="e">
        <f t="shared" si="0"/>
        <v>#REF!</v>
      </c>
      <c r="G15" s="235"/>
      <c r="J15" s="233" t="e">
        <f>VLOOKUP($B15,FS_worksheet!$C$11:$H$116,5,FALSE)</f>
        <v>#REF!</v>
      </c>
    </row>
    <row r="16" spans="1:11" s="233" customFormat="1" ht="15.75" customHeight="1">
      <c r="A16" s="257"/>
      <c r="B16" s="234"/>
      <c r="D16" s="258"/>
      <c r="F16" s="258"/>
      <c r="G16" s="235"/>
      <c r="H16" s="258"/>
      <c r="J16" s="258"/>
    </row>
    <row r="17" spans="1:11" ht="15.75" customHeight="1">
      <c r="A17" s="254" t="str">
        <f>FS_worksheet!B105</f>
        <v>기타포괄손익누계액</v>
      </c>
      <c r="B17" s="254"/>
      <c r="C17" s="254"/>
      <c r="D17" s="255">
        <f>SUM(D18)</f>
        <v>7224054</v>
      </c>
      <c r="E17" s="255"/>
      <c r="F17" s="255"/>
      <c r="G17" s="256"/>
      <c r="H17" s="255"/>
      <c r="I17" s="255"/>
      <c r="J17" s="255">
        <f>SUM(J18)</f>
        <v>11470578</v>
      </c>
    </row>
    <row r="18" spans="1:11" ht="15.75" customHeight="1">
      <c r="A18" s="230" t="str">
        <f>FS_worksheet!B106</f>
        <v>1.</v>
      </c>
      <c r="B18" s="231" t="str">
        <f>FS_worksheet!C106</f>
        <v xml:space="preserve">      매도가능증권평가익</v>
      </c>
      <c r="C18" s="230"/>
      <c r="D18" s="230">
        <f>VLOOKUP($B18,FS_worksheet!$C$11:$H$116,3,FALSE)</f>
        <v>7224054</v>
      </c>
      <c r="E18" s="230"/>
      <c r="F18" s="230">
        <f>H18+J18-D18</f>
        <v>4246524</v>
      </c>
      <c r="G18" s="232"/>
      <c r="H18" s="230"/>
      <c r="I18" s="230"/>
      <c r="J18" s="230">
        <f>VLOOKUP($B18,FS_worksheet!$C$11:$H$116,5,FALSE)</f>
        <v>11470578</v>
      </c>
    </row>
    <row r="19" spans="1:11" ht="15.75" customHeight="1">
      <c r="A19" s="233"/>
      <c r="B19" s="234">
        <f>FS_worksheet!C108</f>
        <v>0</v>
      </c>
      <c r="C19" s="233"/>
      <c r="D19" s="233" t="e">
        <f>VLOOKUP($B19,FS_worksheet!$C$11:$H$116,3,FALSE)</f>
        <v>#N/A</v>
      </c>
      <c r="E19" s="233"/>
      <c r="F19" s="233" t="e">
        <f t="shared" ref="F19" si="1">H19+J19-D19</f>
        <v>#N/A</v>
      </c>
      <c r="G19" s="235"/>
      <c r="H19" s="233"/>
      <c r="I19" s="233"/>
      <c r="J19" s="233" t="e">
        <f>VLOOKUP($B19,FS_worksheet!$C$11:$H$116,5,FALSE)</f>
        <v>#N/A</v>
      </c>
    </row>
    <row r="20" spans="1:11" ht="15.75" customHeight="1">
      <c r="B20" s="236"/>
      <c r="F20" s="225"/>
    </row>
    <row r="21" spans="1:11" ht="15.75" customHeight="1">
      <c r="A21" s="254" t="str">
        <f>FS_worksheet!B108</f>
        <v>이익잉여금</v>
      </c>
      <c r="B21" s="254"/>
      <c r="C21" s="254"/>
      <c r="D21" s="255" t="e">
        <f>SUM(D22:D25)</f>
        <v>#REF!</v>
      </c>
      <c r="E21" s="255"/>
      <c r="F21" s="255"/>
      <c r="G21" s="256"/>
      <c r="H21" s="255"/>
      <c r="I21" s="255"/>
      <c r="J21" s="255" t="e">
        <f>SUM(J22:J25)</f>
        <v>#REF!</v>
      </c>
    </row>
    <row r="22" spans="1:11" ht="15.75" customHeight="1">
      <c r="A22" s="230" t="str">
        <f>FS_worksheet!B109</f>
        <v>1.</v>
      </c>
      <c r="B22" s="231" t="str">
        <f>FS_worksheet!C109</f>
        <v xml:space="preserve">      기타  이익  잉여금</v>
      </c>
      <c r="C22" s="230"/>
      <c r="D22" s="230">
        <f>VLOOKUP($B22,FS_worksheet!$C$11:$H$116,3,FALSE)</f>
        <v>0</v>
      </c>
      <c r="E22" s="230"/>
      <c r="F22" s="230">
        <f t="shared" ref="F22:F25" si="2">H22+J22-D22</f>
        <v>0</v>
      </c>
      <c r="G22" s="232"/>
      <c r="H22" s="230"/>
      <c r="I22" s="230"/>
      <c r="J22" s="230">
        <f>VLOOKUP($B22,FS_worksheet!$C$11:$H$116,5,FALSE)</f>
        <v>0</v>
      </c>
      <c r="K22" s="233"/>
    </row>
    <row r="23" spans="1:11" ht="15.75" customHeight="1">
      <c r="A23" s="233" t="str">
        <f>FS_worksheet!B110</f>
        <v>2.</v>
      </c>
      <c r="B23" s="234" t="e">
        <f>FS_worksheet!C110</f>
        <v>#REF!</v>
      </c>
      <c r="C23" s="233"/>
      <c r="D23" s="233" t="e">
        <f>VLOOKUP($B23,FS_worksheet!$C$11:$H$116,3,FALSE)</f>
        <v>#REF!</v>
      </c>
      <c r="E23" s="233"/>
      <c r="F23" s="233" t="e">
        <f t="shared" si="2"/>
        <v>#REF!</v>
      </c>
      <c r="G23" s="235"/>
      <c r="H23" s="233"/>
      <c r="I23" s="233"/>
      <c r="J23" s="233" t="e">
        <f>VLOOKUP($B23,FS_worksheet!$C$11:$H$116,5,FALSE)</f>
        <v>#REF!</v>
      </c>
      <c r="K23" s="233"/>
    </row>
    <row r="24" spans="1:11" ht="15.75" customHeight="1">
      <c r="A24" s="230" t="str">
        <f>FS_worksheet!B111</f>
        <v>3.</v>
      </c>
      <c r="B24" s="231" t="e">
        <f>FS_worksheet!C111</f>
        <v>#REF!</v>
      </c>
      <c r="C24" s="230"/>
      <c r="D24" s="230" t="e">
        <f>VLOOKUP($B24,FS_worksheet!$C$11:$H$116,3,FALSE)</f>
        <v>#REF!</v>
      </c>
      <c r="E24" s="230"/>
      <c r="F24" s="230" t="e">
        <f t="shared" si="2"/>
        <v>#REF!</v>
      </c>
      <c r="G24" s="232"/>
      <c r="H24" s="230"/>
      <c r="I24" s="230"/>
      <c r="J24" s="230" t="e">
        <f>VLOOKUP($B24,FS_worksheet!$C$11:$H$116,5,FALSE)</f>
        <v>#REF!</v>
      </c>
      <c r="K24" s="233"/>
    </row>
    <row r="25" spans="1:11" ht="15.75" customHeight="1">
      <c r="A25" s="233" t="str">
        <f>FS_worksheet!B113</f>
        <v>1.</v>
      </c>
      <c r="B25" s="234" t="str">
        <f>FS_worksheet!C113</f>
        <v>미처분이익잉여금</v>
      </c>
      <c r="C25" s="233"/>
      <c r="D25" s="233">
        <f>VLOOKUP($B25,FS_worksheet!$C$11:$H$116,3,FALSE)</f>
        <v>705801536</v>
      </c>
      <c r="E25" s="233"/>
      <c r="F25" s="233">
        <f t="shared" si="2"/>
        <v>-301715842</v>
      </c>
      <c r="G25" s="235"/>
      <c r="H25" s="233"/>
      <c r="I25" s="233"/>
      <c r="J25" s="233">
        <f>VLOOKUP($B25,FS_worksheet!$C$11:$H$116,5,FALSE)</f>
        <v>404085694</v>
      </c>
      <c r="K25" s="233"/>
    </row>
    <row r="26" spans="1:11" ht="15.75" customHeight="1">
      <c r="A26" s="233"/>
      <c r="B26" s="234" t="str">
        <f>FS_worksheet!D114</f>
        <v>전기이월이익잉여금</v>
      </c>
      <c r="C26" s="233"/>
      <c r="D26" s="233">
        <f>VLOOKUP($B26,FS_worksheet!$D$11:$H$116,2,FALSE)</f>
        <v>1639225814</v>
      </c>
      <c r="E26" s="233"/>
      <c r="F26" s="233" t="e">
        <f t="shared" ref="F26:F28" si="3">H26+J26-D26</f>
        <v>#REF!</v>
      </c>
      <c r="G26" s="235"/>
      <c r="H26" s="233" t="e">
        <f>#REF!</f>
        <v>#REF!</v>
      </c>
      <c r="I26" s="233"/>
      <c r="J26" s="233">
        <f>VLOOKUP($B26,FS_worksheet!$D$11:$H$116,4,FALSE)</f>
        <v>705801536</v>
      </c>
      <c r="K26" s="233"/>
    </row>
    <row r="27" spans="1:11" ht="15.75" customHeight="1">
      <c r="A27" s="233"/>
      <c r="B27" s="234" t="str">
        <f>FS_worksheet!D115</f>
        <v>전기오류수정이익(손실)</v>
      </c>
      <c r="C27" s="233"/>
      <c r="D27" s="233">
        <f>VLOOKUP($B27,FS_worksheet!$D$11:$H$116,2,FALSE)</f>
        <v>0</v>
      </c>
      <c r="E27" s="233"/>
      <c r="F27" s="233" t="e">
        <f t="shared" si="3"/>
        <v>#REF!</v>
      </c>
      <c r="G27" s="235"/>
      <c r="H27" s="233" t="e">
        <f>#REF!</f>
        <v>#REF!</v>
      </c>
      <c r="I27" s="233"/>
      <c r="J27" s="233">
        <f>VLOOKUP($B27,FS_worksheet!$D$11:$H$116,4,FALSE)</f>
        <v>0</v>
      </c>
      <c r="K27" s="233"/>
    </row>
    <row r="28" spans="1:11" ht="15.75" customHeight="1">
      <c r="A28" s="233"/>
      <c r="B28" s="234" t="str">
        <f>FS_worksheet!D116</f>
        <v>당기순이익(손실)</v>
      </c>
      <c r="C28" s="233"/>
      <c r="D28" s="233">
        <f>VLOOKUP($B28,FS_worksheet!$D$11:$H$116,2,FALSE)</f>
        <v>-933424278</v>
      </c>
      <c r="E28" s="233"/>
      <c r="F28" s="233" t="e">
        <f t="shared" si="3"/>
        <v>#REF!</v>
      </c>
      <c r="G28" s="235"/>
      <c r="H28" s="233" t="e">
        <f>#REF!</f>
        <v>#REF!</v>
      </c>
      <c r="I28" s="233"/>
      <c r="J28" s="233">
        <f>VLOOKUP($B28,FS_worksheet!$D$11:$H$116,4,FALSE)</f>
        <v>-301715842</v>
      </c>
      <c r="K28" s="233"/>
    </row>
    <row r="31" spans="1:11" ht="15.75" customHeight="1">
      <c r="A31" s="222" t="s">
        <v>244</v>
      </c>
    </row>
    <row r="32" spans="1:11" s="225" customFormat="1" ht="15.75" customHeight="1">
      <c r="A32" s="224" t="s">
        <v>245</v>
      </c>
      <c r="B32" s="223" t="s">
        <v>926</v>
      </c>
    </row>
    <row r="33" spans="1:2" s="225" customFormat="1" ht="15.75" customHeight="1">
      <c r="A33" s="224" t="s">
        <v>34</v>
      </c>
      <c r="B33" s="223" t="s">
        <v>927</v>
      </c>
    </row>
    <row r="34" spans="1:2" s="225" customFormat="1" ht="15.75" customHeight="1">
      <c r="A34" s="224" t="s">
        <v>35</v>
      </c>
      <c r="B34" s="223" t="s">
        <v>928</v>
      </c>
    </row>
    <row r="35" spans="1:2" s="225" customFormat="1" ht="15.75" customHeight="1">
      <c r="A35" s="224" t="s">
        <v>36</v>
      </c>
      <c r="B35" s="223" t="s">
        <v>929</v>
      </c>
    </row>
    <row r="36" spans="1:2" s="225" customFormat="1" ht="15.75" customHeight="1">
      <c r="A36" s="224" t="s">
        <v>39</v>
      </c>
      <c r="B36" s="223" t="s">
        <v>930</v>
      </c>
    </row>
    <row r="37" spans="1:2" s="225" customFormat="1" ht="15.75" customHeight="1">
      <c r="A37" s="224"/>
      <c r="B37" s="223" t="s">
        <v>941</v>
      </c>
    </row>
    <row r="38" spans="1:2" s="225" customFormat="1" ht="15.75" customHeight="1">
      <c r="A38" s="224" t="s">
        <v>43</v>
      </c>
      <c r="B38" s="223" t="s">
        <v>931</v>
      </c>
    </row>
    <row r="39" spans="1:2" s="225" customFormat="1" ht="15.75" customHeight="1">
      <c r="A39" s="224" t="s">
        <v>44</v>
      </c>
      <c r="B39" s="223" t="s">
        <v>932</v>
      </c>
    </row>
    <row r="40" spans="1:2" s="225" customFormat="1" ht="15.75" customHeight="1">
      <c r="A40" s="224"/>
      <c r="B40" s="223" t="s">
        <v>942</v>
      </c>
    </row>
    <row r="41" spans="1:2" s="225" customFormat="1" ht="15.75" customHeight="1">
      <c r="A41" s="224" t="s">
        <v>45</v>
      </c>
      <c r="B41" s="223" t="s">
        <v>933</v>
      </c>
    </row>
    <row r="42" spans="1:2" s="225" customFormat="1" ht="15.75" customHeight="1">
      <c r="A42" s="224" t="s">
        <v>46</v>
      </c>
      <c r="B42" s="223" t="s">
        <v>934</v>
      </c>
    </row>
    <row r="43" spans="1:2" ht="15.75" customHeight="1">
      <c r="A43" s="224" t="s">
        <v>41</v>
      </c>
      <c r="B43" s="223" t="s">
        <v>935</v>
      </c>
    </row>
    <row r="44" spans="1:2" ht="15.75" customHeight="1">
      <c r="A44" s="224" t="s">
        <v>53</v>
      </c>
      <c r="B44" s="223" t="s">
        <v>936</v>
      </c>
    </row>
    <row r="47" spans="1:2" ht="15.75" customHeight="1">
      <c r="A47" s="222" t="s">
        <v>246</v>
      </c>
    </row>
    <row r="48" spans="1:2" ht="15.75" customHeight="1">
      <c r="A48" s="227" t="s">
        <v>254</v>
      </c>
      <c r="B48" s="223" t="s">
        <v>937</v>
      </c>
    </row>
    <row r="49" spans="1:6" ht="15.75" customHeight="1">
      <c r="A49" s="227" t="s">
        <v>34</v>
      </c>
      <c r="B49" s="223" t="s">
        <v>938</v>
      </c>
    </row>
    <row r="50" spans="1:6" ht="15.75" customHeight="1">
      <c r="A50" s="227" t="s">
        <v>35</v>
      </c>
      <c r="B50" s="223" t="s">
        <v>939</v>
      </c>
    </row>
    <row r="51" spans="1:6" ht="15.75" customHeight="1">
      <c r="A51" s="227" t="s">
        <v>36</v>
      </c>
      <c r="B51" s="223" t="s">
        <v>940</v>
      </c>
    </row>
    <row r="53" spans="1:6" s="225" customFormat="1" ht="15.75" customHeight="1">
      <c r="A53" s="228" t="s">
        <v>248</v>
      </c>
    </row>
    <row r="54" spans="1:6" s="225" customFormat="1" ht="15.75" customHeight="1"/>
    <row r="55" spans="1:6" s="225" customFormat="1" ht="15.75" customHeight="1"/>
    <row r="56" spans="1:6" s="225" customFormat="1" ht="15.75" customHeight="1">
      <c r="A56" s="228" t="s">
        <v>762</v>
      </c>
    </row>
    <row r="57" spans="1:6" ht="15.75" customHeight="1">
      <c r="A57" s="253" t="s">
        <v>761</v>
      </c>
      <c r="B57" s="225"/>
      <c r="C57" s="225"/>
      <c r="D57" s="225"/>
      <c r="E57" s="225"/>
      <c r="F57" s="225"/>
    </row>
    <row r="58" spans="1:6" ht="15.75" customHeight="1">
      <c r="A58" s="264"/>
      <c r="B58" s="225" t="s">
        <v>754</v>
      </c>
      <c r="C58" s="225"/>
      <c r="D58" s="225"/>
      <c r="E58" s="225"/>
      <c r="F58" s="225" t="s">
        <v>755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0000"/>
  </sheetPr>
  <dimension ref="A1:P95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TableofContents!$D$27</f>
        <v>매출</v>
      </c>
      <c r="B2" s="449"/>
      <c r="C2" s="449"/>
      <c r="D2" s="449"/>
      <c r="E2" s="449"/>
      <c r="F2" s="449"/>
      <c r="G2" s="450"/>
      <c r="H2" s="1255" t="str">
        <f>"DIR - "&amp;TableofContents!$B$27</f>
        <v>DIR - P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2182</v>
      </c>
      <c r="N16" s="247" t="s">
        <v>2175</v>
      </c>
    </row>
    <row r="17" spans="1:14" s="225" customFormat="1" ht="15.75" customHeight="1">
      <c r="A17" s="224"/>
      <c r="B17" s="224"/>
      <c r="C17" s="224" t="s">
        <v>2190</v>
      </c>
      <c r="D17" s="224"/>
      <c r="N17" s="247"/>
    </row>
    <row r="18" spans="1:14" s="225" customFormat="1" ht="15.75" customHeight="1">
      <c r="A18" s="224"/>
      <c r="B18" s="224"/>
      <c r="C18" s="224" t="s">
        <v>2191</v>
      </c>
      <c r="D18" s="224"/>
      <c r="N18" s="247"/>
    </row>
    <row r="19" spans="1:14" s="225" customFormat="1" ht="15.75" customHeight="1">
      <c r="A19" s="224"/>
      <c r="B19" s="224"/>
      <c r="C19" s="224"/>
      <c r="D19" s="224"/>
      <c r="N19" s="247"/>
    </row>
    <row r="20" spans="1:14" s="225" customFormat="1" ht="15.75" customHeight="1">
      <c r="A20" s="224"/>
      <c r="B20" s="224" t="s">
        <v>1069</v>
      </c>
      <c r="C20" s="224" t="s">
        <v>2185</v>
      </c>
      <c r="N20" s="247" t="s">
        <v>2176</v>
      </c>
    </row>
    <row r="21" spans="1:14" s="225" customFormat="1" ht="15.75" customHeight="1">
      <c r="A21" s="224"/>
      <c r="B21" s="224"/>
      <c r="C21" s="224" t="s">
        <v>2192</v>
      </c>
      <c r="N21" s="247"/>
    </row>
    <row r="22" spans="1:14" s="225" customFormat="1" ht="15.75" customHeight="1">
      <c r="A22" s="224"/>
      <c r="B22" s="224"/>
      <c r="C22" s="224" t="s">
        <v>2193</v>
      </c>
      <c r="N22" s="247"/>
    </row>
    <row r="23" spans="1:14" s="225" customFormat="1" ht="15.75" customHeight="1"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B24" s="224" t="s">
        <v>2044</v>
      </c>
      <c r="C24" s="224" t="s">
        <v>2186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 t="s">
        <v>2177</v>
      </c>
    </row>
    <row r="25" spans="1:14" s="225" customFormat="1" ht="15.75" customHeight="1">
      <c r="B25" s="224"/>
      <c r="C25" s="224" t="s">
        <v>2178</v>
      </c>
      <c r="D25" s="471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C26" s="224" t="s">
        <v>2196</v>
      </c>
      <c r="D26" s="492"/>
      <c r="E26" s="226"/>
      <c r="F26" s="226"/>
      <c r="G26" s="226"/>
      <c r="H26" s="226"/>
      <c r="I26" s="226"/>
      <c r="J26" s="226"/>
      <c r="K26" s="226"/>
      <c r="L26" s="226"/>
      <c r="M26" s="226"/>
      <c r="N26" s="493"/>
    </row>
    <row r="27" spans="1:14" s="225" customFormat="1" ht="15.75" customHeight="1">
      <c r="C27" s="224" t="s">
        <v>2197</v>
      </c>
      <c r="D27" s="492"/>
      <c r="E27" s="226"/>
      <c r="F27" s="226"/>
      <c r="G27" s="226"/>
      <c r="H27" s="226"/>
      <c r="I27" s="226"/>
      <c r="J27" s="226"/>
      <c r="K27" s="226"/>
      <c r="L27" s="226"/>
      <c r="M27" s="226"/>
      <c r="N27" s="493"/>
    </row>
    <row r="28" spans="1:14" s="225" customFormat="1" ht="15.75" customHeight="1">
      <c r="B28" s="224"/>
      <c r="C28" s="472" t="s">
        <v>2198</v>
      </c>
      <c r="D28" s="471"/>
      <c r="E28" s="226"/>
      <c r="F28" s="226"/>
      <c r="G28" s="226"/>
      <c r="H28" s="226"/>
      <c r="I28" s="226"/>
      <c r="J28" s="226"/>
      <c r="K28" s="226"/>
      <c r="L28" s="226"/>
      <c r="M28" s="226"/>
      <c r="N28" s="493"/>
    </row>
    <row r="29" spans="1:14" s="225" customFormat="1" ht="15.75" customHeight="1">
      <c r="A29" s="224"/>
      <c r="B29" s="224"/>
      <c r="C29" s="472" t="s">
        <v>2199</v>
      </c>
      <c r="D29" s="224"/>
      <c r="N29" s="247"/>
    </row>
    <row r="30" spans="1:14" s="225" customFormat="1" ht="15.75" customHeight="1">
      <c r="A30" s="224"/>
      <c r="B30" s="224"/>
      <c r="C30" s="472" t="s">
        <v>2200</v>
      </c>
      <c r="D30" s="224"/>
      <c r="N30" s="247"/>
    </row>
    <row r="31" spans="1:14" s="225" customFormat="1" ht="15.75" customHeight="1">
      <c r="A31" s="224"/>
      <c r="B31" s="224"/>
      <c r="C31" s="472" t="s">
        <v>2201</v>
      </c>
      <c r="D31" s="224"/>
      <c r="N31" s="247"/>
    </row>
    <row r="32" spans="1:14" s="225" customFormat="1" ht="15.75" customHeight="1">
      <c r="A32" s="224"/>
      <c r="B32" s="224"/>
      <c r="C32" s="472" t="s">
        <v>2202</v>
      </c>
      <c r="D32" s="472"/>
      <c r="N32" s="247"/>
    </row>
    <row r="33" spans="1:14" s="225" customFormat="1" ht="15.75" customHeight="1">
      <c r="A33" s="224"/>
      <c r="B33" s="224"/>
      <c r="C33" s="472" t="s">
        <v>2203</v>
      </c>
      <c r="D33" s="224"/>
      <c r="N33" s="247"/>
    </row>
    <row r="34" spans="1:14" s="225" customFormat="1" ht="15.75" customHeight="1">
      <c r="A34" s="224"/>
      <c r="B34" s="224"/>
      <c r="C34" s="472" t="s">
        <v>2204</v>
      </c>
      <c r="D34" s="224"/>
      <c r="N34" s="247"/>
    </row>
    <row r="35" spans="1:14" s="225" customFormat="1" ht="15.75" customHeight="1">
      <c r="A35" s="224"/>
      <c r="B35" s="224"/>
      <c r="C35" s="224"/>
      <c r="D35" s="472"/>
      <c r="N35" s="247"/>
    </row>
    <row r="36" spans="1:14" s="225" customFormat="1" ht="15.75" customHeight="1">
      <c r="A36" s="224"/>
      <c r="B36" s="224" t="s">
        <v>2051</v>
      </c>
      <c r="C36" s="224" t="s">
        <v>2187</v>
      </c>
      <c r="D36" s="472"/>
      <c r="N36" s="247" t="s">
        <v>2179</v>
      </c>
    </row>
    <row r="37" spans="1:14" s="225" customFormat="1" ht="15.75" customHeight="1">
      <c r="A37" s="224"/>
      <c r="B37" s="224"/>
      <c r="C37" s="472" t="s">
        <v>2205</v>
      </c>
      <c r="D37" s="472"/>
      <c r="N37" s="247"/>
    </row>
    <row r="38" spans="1:14" s="225" customFormat="1" ht="15.75" customHeight="1">
      <c r="A38" s="224"/>
      <c r="B38" s="224"/>
      <c r="C38" s="472" t="s">
        <v>2206</v>
      </c>
      <c r="D38" s="472"/>
      <c r="N38" s="247"/>
    </row>
    <row r="39" spans="1:14" s="225" customFormat="1" ht="15.75" customHeight="1">
      <c r="A39" s="224"/>
      <c r="B39" s="224"/>
      <c r="C39" s="472" t="s">
        <v>2207</v>
      </c>
      <c r="D39" s="472"/>
      <c r="N39" s="247"/>
    </row>
    <row r="40" spans="1:14" s="225" customFormat="1" ht="15.75" customHeight="1">
      <c r="A40" s="224"/>
      <c r="B40" s="224"/>
      <c r="C40" s="472" t="s">
        <v>2208</v>
      </c>
      <c r="D40" s="472"/>
      <c r="N40" s="247"/>
    </row>
    <row r="41" spans="1:14" s="225" customFormat="1" ht="15.75" customHeight="1">
      <c r="A41" s="224"/>
      <c r="B41" s="224"/>
      <c r="C41" s="472" t="s">
        <v>2209</v>
      </c>
      <c r="D41" s="472"/>
      <c r="N41" s="247"/>
    </row>
    <row r="42" spans="1:14" s="225" customFormat="1" ht="15.75" customHeight="1">
      <c r="A42" s="224"/>
      <c r="B42" s="224"/>
      <c r="C42" s="224"/>
      <c r="D42" s="472"/>
      <c r="N42" s="247"/>
    </row>
    <row r="43" spans="1:14" s="225" customFormat="1" ht="15.75" customHeight="1">
      <c r="A43" s="224"/>
      <c r="B43" s="224"/>
      <c r="C43" s="224"/>
      <c r="D43" s="224"/>
      <c r="N43" s="247"/>
    </row>
    <row r="44" spans="1:14" s="225" customFormat="1" ht="15.75" customHeight="1">
      <c r="A44" s="224"/>
      <c r="B44" s="224" t="s">
        <v>1360</v>
      </c>
      <c r="C44" s="224" t="s">
        <v>2188</v>
      </c>
      <c r="D44" s="224"/>
      <c r="N44" s="247" t="s">
        <v>2032</v>
      </c>
    </row>
    <row r="45" spans="1:14" s="225" customFormat="1" ht="15.75" customHeight="1">
      <c r="A45" s="224"/>
      <c r="B45" s="224"/>
      <c r="C45" s="472" t="s">
        <v>2180</v>
      </c>
      <c r="D45" s="472"/>
      <c r="N45" s="247"/>
    </row>
    <row r="46" spans="1:14" s="225" customFormat="1" ht="15.75" customHeight="1">
      <c r="A46" s="224"/>
      <c r="B46" s="224"/>
      <c r="C46" s="224"/>
      <c r="D46" s="472"/>
      <c r="N46" s="247"/>
    </row>
    <row r="47" spans="1:14" s="225" customFormat="1" ht="15.75" customHeight="1">
      <c r="A47" s="224"/>
      <c r="B47" s="224" t="s">
        <v>2183</v>
      </c>
      <c r="C47" s="224" t="s">
        <v>2189</v>
      </c>
      <c r="D47" s="472"/>
      <c r="N47" s="247" t="s">
        <v>2002</v>
      </c>
    </row>
    <row r="48" spans="1:14" s="225" customFormat="1" ht="15.75" customHeight="1">
      <c r="A48" s="224"/>
      <c r="B48" s="224"/>
      <c r="C48" s="224"/>
      <c r="D48" s="472"/>
      <c r="N48" s="247"/>
    </row>
    <row r="49" spans="1:14" s="225" customFormat="1" ht="15.75" customHeight="1">
      <c r="A49" s="224"/>
      <c r="B49" s="224" t="s">
        <v>1375</v>
      </c>
      <c r="C49" s="224" t="s">
        <v>1509</v>
      </c>
      <c r="D49" s="472"/>
      <c r="N49" s="247" t="s">
        <v>2181</v>
      </c>
    </row>
    <row r="50" spans="1:14" s="225" customFormat="1" ht="15.75" customHeight="1">
      <c r="A50" s="224"/>
      <c r="B50" s="224"/>
      <c r="C50" s="224" t="s">
        <v>2194</v>
      </c>
      <c r="D50" s="472"/>
      <c r="N50" s="247"/>
    </row>
    <row r="51" spans="1:14" s="225" customFormat="1" ht="15.75" customHeight="1">
      <c r="A51" s="224"/>
      <c r="B51" s="224"/>
      <c r="C51" s="224" t="s">
        <v>2195</v>
      </c>
      <c r="D51" s="472"/>
      <c r="N51" s="247"/>
    </row>
    <row r="52" spans="1:14" s="225" customFormat="1" ht="15.75" customHeight="1">
      <c r="A52" s="224"/>
      <c r="B52" s="224"/>
      <c r="C52" s="472"/>
      <c r="D52" s="472"/>
      <c r="N52" s="247"/>
    </row>
    <row r="53" spans="1:14" s="225" customFormat="1" ht="15.75" customHeight="1">
      <c r="A53" s="224"/>
      <c r="B53" s="224" t="s">
        <v>1376</v>
      </c>
      <c r="C53" s="472" t="s">
        <v>1386</v>
      </c>
      <c r="D53" s="472"/>
      <c r="N53" s="247" t="s">
        <v>1311</v>
      </c>
    </row>
    <row r="54" spans="1:14" s="225" customFormat="1" ht="15.75" customHeight="1">
      <c r="A54" s="224"/>
      <c r="B54" s="224"/>
      <c r="C54" s="472" t="s">
        <v>2210</v>
      </c>
      <c r="D54" s="472"/>
      <c r="N54" s="247"/>
    </row>
    <row r="55" spans="1:14" s="225" customFormat="1" ht="15.75" customHeight="1">
      <c r="C55" s="472" t="s">
        <v>2211</v>
      </c>
      <c r="D55" s="224"/>
      <c r="N55" s="247"/>
    </row>
    <row r="56" spans="1:14" s="225" customFormat="1" ht="15.75" customHeight="1">
      <c r="B56" s="253"/>
      <c r="C56" s="472" t="s">
        <v>2212</v>
      </c>
      <c r="D56" s="224"/>
      <c r="N56" s="247"/>
    </row>
    <row r="57" spans="1:14" s="225" customFormat="1" ht="15.75" customHeight="1">
      <c r="C57" s="472" t="s">
        <v>2213</v>
      </c>
      <c r="D57" s="472"/>
      <c r="N57" s="247"/>
    </row>
    <row r="58" spans="1:14" s="225" customFormat="1" ht="15.75" customHeight="1">
      <c r="C58" s="472" t="s">
        <v>2214</v>
      </c>
      <c r="D58" s="472"/>
      <c r="N58" s="247"/>
    </row>
    <row r="59" spans="1:14" s="225" customFormat="1" ht="15.75" customHeight="1">
      <c r="B59" s="224"/>
      <c r="C59" s="472" t="s">
        <v>2215</v>
      </c>
      <c r="D59" s="472"/>
      <c r="N59" s="247"/>
    </row>
    <row r="60" spans="1:14" s="225" customFormat="1" ht="15.75" customHeight="1">
      <c r="C60" s="224"/>
      <c r="D60" s="472"/>
      <c r="N60" s="247"/>
    </row>
    <row r="61" spans="1:14" s="225" customFormat="1" ht="15.75" customHeight="1">
      <c r="B61" s="224" t="s">
        <v>2184</v>
      </c>
      <c r="C61" s="224" t="s">
        <v>1391</v>
      </c>
      <c r="D61" s="472"/>
      <c r="N61" s="247"/>
    </row>
    <row r="62" spans="1:14" s="225" customFormat="1" ht="15.75" customHeight="1">
      <c r="B62" s="224"/>
      <c r="C62" s="472"/>
      <c r="D62" s="472"/>
      <c r="N62" s="247"/>
    </row>
    <row r="63" spans="1:14" s="225" customFormat="1" ht="15.75" customHeight="1">
      <c r="D63" s="472"/>
      <c r="N63" s="247"/>
    </row>
    <row r="64" spans="1:14" s="225" customFormat="1" ht="15.75" customHeight="1">
      <c r="C64" s="224"/>
      <c r="D64" s="472"/>
    </row>
    <row r="65" spans="1:14" s="225" customFormat="1" ht="15.75" customHeight="1">
      <c r="D65" s="472"/>
    </row>
    <row r="66" spans="1:14" s="229" customFormat="1" ht="15.75" customHeight="1">
      <c r="A66" s="253"/>
      <c r="B66" s="253"/>
      <c r="C66" s="224"/>
      <c r="D66" s="224"/>
      <c r="E66" s="225"/>
      <c r="F66" s="225"/>
      <c r="G66" s="225"/>
      <c r="H66" s="225"/>
      <c r="I66" s="225"/>
      <c r="J66" s="225"/>
      <c r="K66" s="225"/>
      <c r="L66" s="225"/>
    </row>
    <row r="67" spans="1:14" s="225" customFormat="1" ht="15.75" customHeight="1">
      <c r="A67" s="264"/>
      <c r="B67" s="224"/>
      <c r="C67" s="224"/>
      <c r="D67" s="224"/>
    </row>
    <row r="68" spans="1:14" s="225" customFormat="1" ht="15.75" customHeight="1">
      <c r="A68" s="264"/>
      <c r="B68" s="264"/>
    </row>
    <row r="69" spans="1:14" s="225" customFormat="1" ht="15.75" customHeight="1">
      <c r="A69" s="264"/>
      <c r="B69" s="264"/>
      <c r="C69" s="224"/>
      <c r="D69" s="224"/>
    </row>
    <row r="70" spans="1:14" s="225" customFormat="1" ht="15.75" customHeight="1">
      <c r="A70" s="264"/>
      <c r="B70" s="264"/>
      <c r="D70" s="224"/>
    </row>
    <row r="71" spans="1:14" s="225" customFormat="1" ht="15.75" customHeight="1">
      <c r="A71" s="264"/>
      <c r="B71" s="264"/>
    </row>
    <row r="72" spans="1:14" s="225" customFormat="1" ht="15.75" customHeight="1">
      <c r="A72" s="264"/>
      <c r="B72" s="264"/>
      <c r="C72" s="224"/>
      <c r="D72" s="224"/>
    </row>
    <row r="73" spans="1:14" s="225" customFormat="1" ht="15.75" customHeight="1">
      <c r="A73" s="264"/>
      <c r="B73" s="264"/>
    </row>
    <row r="74" spans="1:14" s="225" customFormat="1" ht="15.75" customHeight="1">
      <c r="A74" s="264"/>
      <c r="B74" s="264"/>
      <c r="C74" s="224"/>
      <c r="D74" s="224"/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53"/>
      <c r="N76" s="247"/>
    </row>
    <row r="77" spans="1:14" s="225" customFormat="1" ht="15.75" customHeight="1">
      <c r="A77" s="264"/>
      <c r="B77" s="264"/>
    </row>
    <row r="78" spans="1:14" s="225" customFormat="1" ht="15.75" customHeight="1">
      <c r="A78" s="264"/>
      <c r="B78" s="253"/>
      <c r="C78" s="224"/>
      <c r="N78" s="247"/>
    </row>
    <row r="79" spans="1:14" s="225" customFormat="1" ht="15.75" customHeight="1">
      <c r="A79" s="264"/>
      <c r="B79" s="264"/>
    </row>
    <row r="80" spans="1:14" s="225" customFormat="1" ht="15.75" customHeight="1">
      <c r="A80" s="264"/>
      <c r="B80" s="253"/>
      <c r="C80" s="224"/>
      <c r="N80" s="247"/>
    </row>
    <row r="81" spans="1:14" s="225" customFormat="1" ht="15.75" customHeight="1">
      <c r="A81" s="264"/>
      <c r="B81" s="264"/>
      <c r="D81" s="224"/>
    </row>
    <row r="82" spans="1:14" s="225" customFormat="1" ht="15.75" customHeight="1">
      <c r="A82" s="264"/>
      <c r="B82" s="264"/>
      <c r="D82" s="224"/>
    </row>
    <row r="83" spans="1:14" s="225" customFormat="1" ht="15.75" customHeight="1">
      <c r="A83" s="264"/>
      <c r="B83" s="264"/>
    </row>
    <row r="84" spans="1:14" s="225" customFormat="1" ht="15.75" customHeight="1">
      <c r="A84" s="264"/>
      <c r="B84" s="253"/>
      <c r="C84" s="224"/>
      <c r="N84" s="247"/>
    </row>
    <row r="85" spans="1:14" s="225" customFormat="1" ht="15.75" customHeight="1">
      <c r="A85" s="264"/>
      <c r="B85" s="264"/>
    </row>
    <row r="86" spans="1:14" s="225" customFormat="1" ht="15.75" customHeight="1">
      <c r="B86" s="224"/>
      <c r="C86" s="224"/>
      <c r="N86" s="247"/>
    </row>
    <row r="87" spans="1:14" s="225" customFormat="1" ht="15.75" customHeight="1"/>
    <row r="88" spans="1:14" s="225" customFormat="1" ht="15.75" customHeight="1">
      <c r="B88" s="224"/>
      <c r="C88" s="224"/>
      <c r="N88" s="247"/>
    </row>
    <row r="89" spans="1:14" s="225" customFormat="1" ht="15.75" customHeight="1"/>
    <row r="90" spans="1:14" s="225" customFormat="1" ht="15.75" customHeight="1">
      <c r="B90" s="224"/>
      <c r="C90" s="227"/>
      <c r="N90" s="252"/>
    </row>
    <row r="91" spans="1:14" s="225" customFormat="1" ht="15.75" customHeight="1">
      <c r="D91" s="223"/>
    </row>
    <row r="92" spans="1:14" s="225" customFormat="1" ht="15.75" customHeight="1">
      <c r="D92" s="223"/>
    </row>
    <row r="93" spans="1:14" s="225" customFormat="1" ht="15.75" customHeight="1">
      <c r="D93" s="223"/>
    </row>
    <row r="94" spans="1:14" s="225" customFormat="1" ht="15.75" customHeight="1"/>
    <row r="95" spans="1:14" s="225" customFormat="1" ht="15.75" customHeight="1">
      <c r="B95" s="224"/>
      <c r="C9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36">
    <tabColor rgb="FF00B050"/>
  </sheetPr>
  <dimension ref="A1:J122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36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3.125" style="223" customWidth="1"/>
    <col min="15" max="15" width="2.5" style="223" customWidth="1"/>
    <col min="16" max="16" width="14.25" style="223" customWidth="1"/>
    <col min="17" max="16384" width="9" style="223"/>
  </cols>
  <sheetData>
    <row r="1" spans="1:10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374" t="s">
        <v>1</v>
      </c>
    </row>
    <row r="2" spans="1:10" ht="15.75" customHeight="1">
      <c r="A2" s="375" t="str">
        <f>TableofContents!$D$27</f>
        <v>매출</v>
      </c>
      <c r="B2" s="446"/>
      <c r="C2" s="446"/>
      <c r="D2" s="446"/>
      <c r="E2" s="446"/>
      <c r="F2" s="1274" t="str">
        <f>TableofContents!$B$27</f>
        <v>P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5" spans="1:10" s="233" customFormat="1" ht="15.75" customHeight="1">
      <c r="A5" s="223"/>
      <c r="B5" s="223"/>
      <c r="C5" s="223"/>
      <c r="D5" s="223"/>
      <c r="E5" s="223"/>
      <c r="F5" s="236"/>
      <c r="G5" s="223"/>
      <c r="H5" s="223"/>
    </row>
    <row r="6" spans="1:10" s="233" customFormat="1" ht="15.75" customHeight="1">
      <c r="A6" s="223"/>
      <c r="B6" s="223"/>
      <c r="C6" s="223"/>
      <c r="D6" s="221">
        <f>기본사항!$C$11</f>
        <v>40543</v>
      </c>
      <c r="E6" s="223"/>
      <c r="F6" s="447" t="s">
        <v>135</v>
      </c>
      <c r="G6" s="223"/>
      <c r="H6" s="221">
        <f>기본사항!$C$12</f>
        <v>40908</v>
      </c>
    </row>
    <row r="7" spans="1:10" s="233" customFormat="1" ht="15.75" customHeight="1">
      <c r="A7" s="230"/>
      <c r="B7" s="231" t="str">
        <f>FS_worksheet!C131</f>
        <v xml:space="preserve">      기본재산이자수입</v>
      </c>
      <c r="C7" s="230"/>
      <c r="D7" s="230">
        <f>VLOOKUP($B7,FS_worksheet!$C$131:$H$221,3,FALSE)</f>
        <v>244641638</v>
      </c>
      <c r="E7" s="230"/>
      <c r="F7" s="231">
        <f>H7-D7</f>
        <v>-57752688</v>
      </c>
      <c r="G7" s="232"/>
      <c r="H7" s="230">
        <f>VLOOKUP($B7,FS_worksheet!$C$131:$H$221,5,FALSE)</f>
        <v>186888950</v>
      </c>
    </row>
    <row r="8" spans="1:10" s="233" customFormat="1" ht="15.75" customHeight="1">
      <c r="B8" s="234" t="str">
        <f>FS_worksheet!C132</f>
        <v xml:space="preserve">      임대료수입</v>
      </c>
      <c r="D8" s="233">
        <f>VLOOKUP($B8,FS_worksheet!$C$131:$H$221,3,FALSE)</f>
        <v>119974545</v>
      </c>
      <c r="F8" s="234">
        <f t="shared" ref="F8:F9" si="0">H8-D8</f>
        <v>5530363</v>
      </c>
      <c r="G8" s="235"/>
      <c r="H8" s="233">
        <f>VLOOKUP($B8,FS_worksheet!$C$131:$H$221,5,FALSE)</f>
        <v>125504908</v>
      </c>
    </row>
    <row r="9" spans="1:10" s="233" customFormat="1" ht="15.75" customHeight="1">
      <c r="A9" s="230"/>
      <c r="B9" s="231" t="str">
        <f>FS_worksheet!C146</f>
        <v xml:space="preserve">      교육장 대관수입</v>
      </c>
      <c r="C9" s="230"/>
      <c r="D9" s="230">
        <f>VLOOKUP($B9,FS_worksheet!$C$131:$H$221,3,FALSE)</f>
        <v>0</v>
      </c>
      <c r="E9" s="230"/>
      <c r="F9" s="231">
        <f t="shared" si="0"/>
        <v>635000</v>
      </c>
      <c r="G9" s="232"/>
      <c r="H9" s="230">
        <f>VLOOKUP($B9,FS_worksheet!$C$131:$H$221,5,FALSE)</f>
        <v>635000</v>
      </c>
    </row>
    <row r="10" spans="1:10" s="234" customFormat="1" ht="15.75" customHeight="1" thickBot="1">
      <c r="A10" s="257"/>
      <c r="D10" s="259">
        <f>SUM(D7:D9)</f>
        <v>364616183</v>
      </c>
      <c r="E10" s="233"/>
      <c r="F10" s="260">
        <f>SUM(F7:F9)</f>
        <v>-51587325</v>
      </c>
      <c r="G10" s="235"/>
      <c r="H10" s="259">
        <f>SUM(H7:H9)</f>
        <v>313028858</v>
      </c>
    </row>
    <row r="11" spans="1:10" s="233" customFormat="1" ht="15.75" customHeight="1" thickTop="1"/>
    <row r="12" spans="1:10" s="233" customFormat="1" ht="15.75" customHeight="1"/>
    <row r="13" spans="1:10" ht="15.75" customHeight="1">
      <c r="A13" s="222" t="s">
        <v>244</v>
      </c>
      <c r="F13" s="223"/>
    </row>
    <row r="14" spans="1:10" ht="15.75" customHeight="1">
      <c r="A14" s="227" t="s">
        <v>247</v>
      </c>
      <c r="B14" s="223" t="s">
        <v>943</v>
      </c>
      <c r="F14" s="223"/>
    </row>
    <row r="15" spans="1:10" s="225" customFormat="1" ht="15.75" customHeight="1">
      <c r="A15" s="224" t="s">
        <v>360</v>
      </c>
      <c r="B15" s="223" t="s">
        <v>944</v>
      </c>
    </row>
    <row r="16" spans="1:10" s="225" customFormat="1" ht="15.75" customHeight="1">
      <c r="A16" s="227" t="s">
        <v>35</v>
      </c>
      <c r="B16" s="223" t="s">
        <v>945</v>
      </c>
    </row>
    <row r="17" spans="1:2" s="225" customFormat="1" ht="15.75" customHeight="1">
      <c r="A17" s="224" t="s">
        <v>36</v>
      </c>
      <c r="B17" s="223" t="s">
        <v>946</v>
      </c>
    </row>
    <row r="18" spans="1:2" s="225" customFormat="1" ht="15.75" customHeight="1">
      <c r="A18" s="227" t="s">
        <v>39</v>
      </c>
      <c r="B18" s="223" t="s">
        <v>947</v>
      </c>
    </row>
    <row r="19" spans="1:2" s="225" customFormat="1" ht="15.75" customHeight="1">
      <c r="A19" s="224" t="s">
        <v>43</v>
      </c>
      <c r="B19" s="223" t="s">
        <v>798</v>
      </c>
    </row>
    <row r="20" spans="1:2" s="223" customFormat="1" ht="15.75" customHeight="1">
      <c r="A20" s="227" t="s">
        <v>44</v>
      </c>
      <c r="B20" s="223" t="s">
        <v>948</v>
      </c>
    </row>
    <row r="21" spans="1:2" s="223" customFormat="1" ht="15.75" customHeight="1"/>
    <row r="22" spans="1:2" s="223" customFormat="1" ht="15.75" customHeight="1"/>
    <row r="23" spans="1:2" s="223" customFormat="1" ht="15.75" customHeight="1">
      <c r="A23" s="222" t="s">
        <v>246</v>
      </c>
    </row>
    <row r="24" spans="1:2" s="223" customFormat="1" ht="15.75" customHeight="1">
      <c r="A24" s="244" t="s">
        <v>247</v>
      </c>
      <c r="B24" s="223" t="s">
        <v>949</v>
      </c>
    </row>
    <row r="25" spans="1:2" s="223" customFormat="1" ht="15.75" customHeight="1">
      <c r="A25" s="238"/>
      <c r="B25" s="223" t="s">
        <v>950</v>
      </c>
    </row>
    <row r="26" spans="1:2" s="223" customFormat="1" ht="15.75" customHeight="1">
      <c r="A26" s="238"/>
      <c r="B26" s="223" t="s">
        <v>951</v>
      </c>
    </row>
    <row r="27" spans="1:2" s="223" customFormat="1" ht="15.75" customHeight="1">
      <c r="A27" s="238"/>
      <c r="B27" s="223" t="s">
        <v>952</v>
      </c>
    </row>
    <row r="28" spans="1:2" s="223" customFormat="1" ht="15.75" customHeight="1">
      <c r="A28" s="238"/>
      <c r="B28" s="223" t="s">
        <v>953</v>
      </c>
    </row>
    <row r="29" spans="1:2" s="223" customFormat="1" ht="15.75" customHeight="1">
      <c r="A29" s="238"/>
      <c r="B29" s="223" t="s">
        <v>954</v>
      </c>
    </row>
    <row r="30" spans="1:2" s="223" customFormat="1" ht="15.75" customHeight="1">
      <c r="A30" s="238"/>
      <c r="B30" s="223" t="s">
        <v>955</v>
      </c>
    </row>
    <row r="31" spans="1:2" s="223" customFormat="1" ht="15.75" customHeight="1">
      <c r="A31" s="238"/>
      <c r="B31" s="223" t="s">
        <v>956</v>
      </c>
    </row>
    <row r="32" spans="1:2" s="223" customFormat="1" ht="15.75" customHeight="1">
      <c r="A32" s="238"/>
      <c r="B32" s="223" t="s">
        <v>957</v>
      </c>
    </row>
    <row r="33" spans="1:6" ht="15.75" customHeight="1">
      <c r="A33" s="238"/>
      <c r="B33" s="223" t="s">
        <v>958</v>
      </c>
      <c r="F33" s="223"/>
    </row>
    <row r="34" spans="1:6" ht="15.75" customHeight="1">
      <c r="A34" s="238"/>
      <c r="B34" s="223" t="s">
        <v>959</v>
      </c>
      <c r="F34" s="223"/>
    </row>
    <row r="35" spans="1:6" ht="15.75" customHeight="1">
      <c r="A35" s="244" t="s">
        <v>360</v>
      </c>
      <c r="B35" s="223" t="s">
        <v>960</v>
      </c>
      <c r="F35" s="223"/>
    </row>
    <row r="36" spans="1:6" ht="15.75" customHeight="1">
      <c r="A36" s="238"/>
      <c r="B36" s="223" t="s">
        <v>961</v>
      </c>
      <c r="F36" s="223"/>
    </row>
    <row r="37" spans="1:6" ht="15.75" customHeight="1">
      <c r="A37" s="238"/>
      <c r="B37" s="223" t="s">
        <v>962</v>
      </c>
      <c r="F37" s="223"/>
    </row>
    <row r="38" spans="1:6" ht="15.75" customHeight="1">
      <c r="A38" s="244"/>
      <c r="B38" s="223" t="s">
        <v>963</v>
      </c>
      <c r="F38" s="223"/>
    </row>
    <row r="39" spans="1:6" ht="15.75" customHeight="1">
      <c r="A39" s="238"/>
      <c r="B39" s="223" t="s">
        <v>964</v>
      </c>
      <c r="F39" s="223"/>
    </row>
    <row r="40" spans="1:6" ht="15.75" customHeight="1">
      <c r="A40" s="238"/>
      <c r="B40" s="223" t="s">
        <v>965</v>
      </c>
      <c r="F40" s="223"/>
    </row>
    <row r="41" spans="1:6" s="225" customFormat="1" ht="15.75" customHeight="1">
      <c r="A41" s="244" t="s">
        <v>35</v>
      </c>
      <c r="B41" s="223" t="s">
        <v>966</v>
      </c>
    </row>
    <row r="42" spans="1:6" s="225" customFormat="1" ht="15.75" customHeight="1">
      <c r="A42" s="244" t="s">
        <v>36</v>
      </c>
      <c r="B42" s="223" t="s">
        <v>792</v>
      </c>
    </row>
    <row r="43" spans="1:6" ht="15.75" customHeight="1">
      <c r="B43" s="223" t="s">
        <v>967</v>
      </c>
      <c r="F43" s="223"/>
    </row>
    <row r="44" spans="1:6" ht="15.75" customHeight="1">
      <c r="A44" s="228" t="s">
        <v>248</v>
      </c>
      <c r="B44" s="225"/>
      <c r="C44" s="225"/>
      <c r="D44" s="225"/>
      <c r="E44" s="225"/>
      <c r="F44" s="225"/>
    </row>
    <row r="45" spans="1:6" s="225" customFormat="1" ht="15.75" customHeight="1"/>
    <row r="46" spans="1:6" s="225" customFormat="1" ht="15.75" customHeight="1"/>
    <row r="47" spans="1:6" s="225" customFormat="1" ht="15.75" customHeight="1">
      <c r="A47" s="228" t="s">
        <v>762</v>
      </c>
    </row>
    <row r="48" spans="1:6" s="225" customFormat="1" ht="15.75" customHeight="1">
      <c r="A48" s="253" t="s">
        <v>761</v>
      </c>
    </row>
    <row r="49" spans="1:6" s="225" customFormat="1" ht="15.75" customHeight="1">
      <c r="A49" s="264"/>
      <c r="B49" s="225" t="s">
        <v>754</v>
      </c>
      <c r="F49" s="225" t="s">
        <v>755</v>
      </c>
    </row>
    <row r="50" spans="1:6" s="225" customFormat="1" ht="15.75" customHeight="1">
      <c r="B50" s="223"/>
    </row>
    <row r="51" spans="1:6" ht="15.75" customHeight="1">
      <c r="F51" s="223"/>
    </row>
    <row r="52" spans="1:6" ht="15.75" customHeight="1">
      <c r="F52" s="223"/>
    </row>
    <row r="53" spans="1:6" ht="15.75" customHeight="1">
      <c r="F53" s="223"/>
    </row>
    <row r="54" spans="1:6" ht="15.75" customHeight="1">
      <c r="F54" s="223"/>
    </row>
    <row r="55" spans="1:6" ht="15.75" customHeight="1">
      <c r="F55" s="223"/>
    </row>
    <row r="56" spans="1:6" ht="15.75" customHeight="1">
      <c r="F56" s="223"/>
    </row>
    <row r="57" spans="1:6" ht="15.75" customHeight="1">
      <c r="F57" s="223"/>
    </row>
    <row r="58" spans="1:6" ht="15.75" customHeight="1">
      <c r="F58" s="223"/>
    </row>
    <row r="59" spans="1:6" ht="15.75" customHeight="1">
      <c r="F59" s="223"/>
    </row>
    <row r="60" spans="1:6" ht="15.75" customHeight="1">
      <c r="F60" s="223"/>
    </row>
    <row r="61" spans="1:6" ht="15.75" customHeight="1">
      <c r="F61" s="223"/>
    </row>
    <row r="62" spans="1:6" ht="15.75" customHeight="1">
      <c r="F62" s="223"/>
    </row>
    <row r="63" spans="1:6" ht="15.75" customHeight="1">
      <c r="F63" s="223"/>
    </row>
    <row r="64" spans="1:6" ht="15.75" customHeight="1">
      <c r="F64" s="223"/>
    </row>
    <row r="65" s="223" customFormat="1" ht="15.75" customHeight="1"/>
    <row r="66" s="223" customFormat="1" ht="15.75" customHeight="1"/>
    <row r="67" s="223" customFormat="1" ht="15.75" customHeight="1"/>
    <row r="68" s="223" customFormat="1" ht="15.75" customHeight="1"/>
    <row r="69" s="223" customFormat="1" ht="15.75" customHeight="1"/>
    <row r="70" s="223" customFormat="1" ht="15.75" customHeight="1"/>
    <row r="71" s="223" customFormat="1" ht="15.75" customHeight="1"/>
    <row r="72" s="223" customFormat="1" ht="15.75" customHeight="1"/>
    <row r="73" s="223" customFormat="1" ht="15.75" customHeight="1"/>
    <row r="74" s="223" customFormat="1" ht="15.75" customHeight="1"/>
    <row r="75" s="223" customFormat="1" ht="15.75" customHeight="1"/>
    <row r="76" s="223" customFormat="1" ht="15.75" customHeight="1"/>
    <row r="77" s="223" customFormat="1" ht="15.75" customHeight="1"/>
    <row r="78" s="223" customFormat="1" ht="15.75" customHeight="1"/>
    <row r="79" s="223" customFormat="1" ht="15.75" customHeight="1"/>
    <row r="80" s="223" customFormat="1" ht="15.75" customHeight="1"/>
    <row r="81" s="223" customFormat="1" ht="15.75" customHeight="1"/>
    <row r="82" s="223" customFormat="1" ht="15.75" customHeight="1"/>
    <row r="83" s="223" customFormat="1" ht="15.75" customHeight="1"/>
    <row r="84" s="223" customFormat="1" ht="15.75" customHeight="1"/>
    <row r="85" s="223" customFormat="1" ht="15.75" customHeight="1"/>
    <row r="86" s="223" customFormat="1" ht="15.75" customHeight="1"/>
    <row r="87" s="223" customFormat="1" ht="15.75" customHeight="1"/>
    <row r="88" s="223" customFormat="1" ht="15.75" customHeight="1"/>
    <row r="89" s="223" customFormat="1" ht="15.75" customHeight="1"/>
    <row r="90" s="223" customFormat="1" ht="15.75" customHeight="1"/>
    <row r="91" s="223" customFormat="1" ht="15.75" customHeight="1"/>
    <row r="92" s="223" customFormat="1" ht="15.75" customHeight="1"/>
    <row r="93" s="223" customFormat="1" ht="15.75" customHeight="1"/>
    <row r="94" s="223" customFormat="1" ht="15.75" customHeight="1"/>
    <row r="95" s="223" customFormat="1" ht="15.75" customHeight="1"/>
    <row r="96" s="223" customFormat="1" ht="15.75" customHeight="1"/>
    <row r="97" spans="6:6" ht="15.75" customHeight="1">
      <c r="F97" s="223"/>
    </row>
    <row r="98" spans="6:6" ht="15.75" customHeight="1">
      <c r="F98" s="223"/>
    </row>
    <row r="99" spans="6:6" ht="15.75" customHeight="1">
      <c r="F99" s="223"/>
    </row>
    <row r="100" spans="6:6" ht="15.75" customHeight="1">
      <c r="F100" s="223"/>
    </row>
    <row r="101" spans="6:6" ht="15.75" customHeight="1">
      <c r="F101" s="223"/>
    </row>
    <row r="102" spans="6:6" ht="15.75" customHeight="1">
      <c r="F102" s="223"/>
    </row>
    <row r="103" spans="6:6" ht="15.75" customHeight="1">
      <c r="F103" s="223"/>
    </row>
    <row r="104" spans="6:6" ht="15.75" customHeight="1">
      <c r="F104" s="223"/>
    </row>
    <row r="105" spans="6:6" ht="15.75" customHeight="1">
      <c r="F105" s="223"/>
    </row>
    <row r="106" spans="6:6" ht="15.75" customHeight="1">
      <c r="F106" s="223"/>
    </row>
    <row r="107" spans="6:6" ht="15.75" customHeight="1">
      <c r="F107" s="223"/>
    </row>
    <row r="108" spans="6:6" ht="15.75" customHeight="1">
      <c r="F108" s="223"/>
    </row>
    <row r="109" spans="6:6" ht="15.75" customHeight="1">
      <c r="F109" s="223"/>
    </row>
    <row r="110" spans="6:6" ht="15.75" customHeight="1">
      <c r="F110" s="223"/>
    </row>
    <row r="111" spans="6:6" ht="15.75" customHeight="1">
      <c r="F111" s="223"/>
    </row>
    <row r="112" spans="6:6" ht="15.75" customHeight="1">
      <c r="F112" s="223"/>
    </row>
    <row r="113" spans="6:6" ht="15.75" customHeight="1">
      <c r="F113" s="223"/>
    </row>
    <row r="114" spans="6:6" ht="15.75" customHeight="1">
      <c r="F114" s="223"/>
    </row>
    <row r="115" spans="6:6" ht="15.75" customHeight="1">
      <c r="F115" s="223"/>
    </row>
    <row r="116" spans="6:6" ht="15.75" customHeight="1">
      <c r="F116" s="223"/>
    </row>
    <row r="117" spans="6:6" ht="15.75" customHeight="1">
      <c r="F117" s="223"/>
    </row>
    <row r="118" spans="6:6" ht="15.75" customHeight="1">
      <c r="F118" s="223"/>
    </row>
    <row r="119" spans="6:6" ht="15.75" customHeight="1">
      <c r="F119" s="223"/>
    </row>
    <row r="120" spans="6:6" ht="15.75" customHeight="1">
      <c r="F120" s="223"/>
    </row>
    <row r="121" spans="6:6" ht="15.75" customHeight="1">
      <c r="F121" s="223"/>
    </row>
    <row r="122" spans="6:6" ht="15.75" customHeight="1">
      <c r="F122" s="223"/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0000"/>
  </sheetPr>
  <dimension ref="A1:P98"/>
  <sheetViews>
    <sheetView zoomScaleSheetLayoutView="85" workbookViewId="0">
      <selection activeCell="F6" sqref="F6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TableofContents!$D$28</f>
        <v>매출원가 및 제조원가</v>
      </c>
      <c r="B2" s="449"/>
      <c r="C2" s="449"/>
      <c r="D2" s="449"/>
      <c r="E2" s="449"/>
      <c r="F2" s="449"/>
      <c r="G2" s="450"/>
      <c r="H2" s="1255" t="str">
        <f>"DIR - "&amp;TableofContents!$B$28</f>
        <v>DIR - Q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2218</v>
      </c>
      <c r="N16" s="247" t="s">
        <v>2175</v>
      </c>
    </row>
    <row r="17" spans="1:14" s="225" customFormat="1" ht="15.75" customHeight="1">
      <c r="A17" s="224"/>
      <c r="B17" s="224"/>
      <c r="C17" s="224" t="s">
        <v>2220</v>
      </c>
      <c r="D17" s="224"/>
      <c r="N17" s="247"/>
    </row>
    <row r="18" spans="1:14" s="225" customFormat="1" ht="15.75" customHeight="1">
      <c r="A18" s="224"/>
      <c r="B18" s="224"/>
      <c r="C18" s="224" t="s">
        <v>2221</v>
      </c>
      <c r="D18" s="224"/>
      <c r="N18" s="247"/>
    </row>
    <row r="19" spans="1:14" s="225" customFormat="1" ht="15.75" customHeight="1">
      <c r="A19" s="224"/>
      <c r="B19" s="224"/>
      <c r="C19" s="224"/>
      <c r="D19" s="224"/>
      <c r="N19" s="247"/>
    </row>
    <row r="20" spans="1:14" s="225" customFormat="1" ht="15.75" customHeight="1">
      <c r="A20" s="224"/>
      <c r="B20" s="224" t="s">
        <v>1069</v>
      </c>
      <c r="C20" s="224" t="s">
        <v>2219</v>
      </c>
      <c r="N20" s="247" t="s">
        <v>2002</v>
      </c>
    </row>
    <row r="21" spans="1:14" s="225" customFormat="1" ht="15.75" customHeight="1">
      <c r="A21" s="224"/>
      <c r="B21" s="224"/>
      <c r="C21" s="224"/>
      <c r="N21" s="247"/>
    </row>
    <row r="22" spans="1:14" s="225" customFormat="1" ht="15.75" customHeight="1">
      <c r="B22" s="224" t="s">
        <v>2044</v>
      </c>
      <c r="C22" s="224" t="s">
        <v>2222</v>
      </c>
      <c r="D22" s="471"/>
      <c r="E22" s="226"/>
      <c r="F22" s="226"/>
      <c r="G22" s="226"/>
      <c r="H22" s="226"/>
      <c r="I22" s="226"/>
      <c r="J22" s="226"/>
      <c r="K22" s="226"/>
      <c r="L22" s="226"/>
      <c r="M22" s="226"/>
      <c r="N22" s="493" t="s">
        <v>2032</v>
      </c>
    </row>
    <row r="23" spans="1:14" s="225" customFormat="1" ht="15.75" customHeight="1">
      <c r="C23" s="224" t="s">
        <v>2223</v>
      </c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B24" s="224"/>
      <c r="C24" s="472" t="s">
        <v>2224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D25" s="492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B26" s="224" t="s">
        <v>2051</v>
      </c>
      <c r="C26" s="224" t="s">
        <v>2225</v>
      </c>
      <c r="D26" s="492"/>
      <c r="E26" s="226"/>
      <c r="F26" s="226"/>
      <c r="G26" s="226"/>
      <c r="H26" s="226"/>
      <c r="I26" s="226"/>
      <c r="J26" s="226"/>
      <c r="K26" s="226"/>
      <c r="L26" s="226"/>
      <c r="M26" s="226"/>
      <c r="N26" s="493" t="s">
        <v>2032</v>
      </c>
    </row>
    <row r="27" spans="1:14" s="225" customFormat="1" ht="15.75" customHeight="1">
      <c r="B27" s="224"/>
      <c r="C27" s="224" t="s">
        <v>2216</v>
      </c>
      <c r="D27" s="471"/>
      <c r="E27" s="226"/>
      <c r="F27" s="226"/>
      <c r="G27" s="226"/>
      <c r="H27" s="226"/>
      <c r="I27" s="226"/>
      <c r="J27" s="226"/>
      <c r="K27" s="226"/>
      <c r="L27" s="226"/>
      <c r="M27" s="226"/>
      <c r="N27" s="493"/>
    </row>
    <row r="28" spans="1:14" s="225" customFormat="1" ht="15.75" customHeight="1">
      <c r="A28" s="224"/>
      <c r="B28" s="224"/>
      <c r="C28" s="224"/>
      <c r="D28" s="224"/>
      <c r="N28" s="247"/>
    </row>
    <row r="29" spans="1:14" s="225" customFormat="1" ht="15.75" customHeight="1">
      <c r="A29" s="224"/>
      <c r="B29" s="224" t="s">
        <v>2055</v>
      </c>
      <c r="C29" s="224" t="s">
        <v>2226</v>
      </c>
      <c r="D29" s="224"/>
      <c r="N29" s="247" t="s">
        <v>2177</v>
      </c>
    </row>
    <row r="30" spans="1:14" s="225" customFormat="1" ht="15.75" customHeight="1">
      <c r="A30" s="224"/>
      <c r="B30" s="224"/>
      <c r="C30" s="224" t="s">
        <v>2217</v>
      </c>
      <c r="D30" s="224"/>
      <c r="N30" s="247"/>
    </row>
    <row r="31" spans="1:14" s="225" customFormat="1" ht="15.75" customHeight="1">
      <c r="A31" s="224"/>
      <c r="B31" s="224"/>
      <c r="C31" s="472" t="s">
        <v>2227</v>
      </c>
      <c r="D31" s="472"/>
      <c r="N31" s="247"/>
    </row>
    <row r="32" spans="1:14" s="225" customFormat="1" ht="15.75" customHeight="1">
      <c r="A32" s="224"/>
      <c r="B32" s="224"/>
      <c r="C32" s="472" t="s">
        <v>2228</v>
      </c>
      <c r="D32" s="224"/>
      <c r="N32" s="247"/>
    </row>
    <row r="33" spans="1:14" s="225" customFormat="1" ht="15.75" customHeight="1">
      <c r="A33" s="224"/>
      <c r="B33" s="224"/>
      <c r="C33" s="472" t="s">
        <v>2229</v>
      </c>
      <c r="D33" s="224"/>
      <c r="N33" s="247"/>
    </row>
    <row r="34" spans="1:14" s="225" customFormat="1" ht="15.75" customHeight="1">
      <c r="A34" s="224"/>
      <c r="B34" s="224"/>
      <c r="C34" s="472" t="s">
        <v>2230</v>
      </c>
      <c r="D34" s="472"/>
      <c r="N34" s="247"/>
    </row>
    <row r="35" spans="1:14" s="225" customFormat="1" ht="15.75" customHeight="1">
      <c r="A35" s="224"/>
      <c r="B35" s="224"/>
      <c r="C35" s="472" t="s">
        <v>2231</v>
      </c>
      <c r="D35" s="472"/>
      <c r="N35" s="247"/>
    </row>
    <row r="36" spans="1:14" s="225" customFormat="1" ht="15.75" customHeight="1">
      <c r="A36" s="224"/>
      <c r="B36" s="224"/>
      <c r="C36" s="472" t="s">
        <v>2232</v>
      </c>
      <c r="D36" s="472"/>
      <c r="N36" s="247"/>
    </row>
    <row r="37" spans="1:14" s="225" customFormat="1" ht="15.75" customHeight="1">
      <c r="A37" s="224"/>
      <c r="B37" s="224"/>
      <c r="C37" s="224"/>
      <c r="D37" s="472"/>
      <c r="N37" s="247"/>
    </row>
    <row r="38" spans="1:14" s="225" customFormat="1" ht="15.75" customHeight="1">
      <c r="A38" s="224"/>
      <c r="B38" s="224" t="s">
        <v>2061</v>
      </c>
      <c r="C38" s="224" t="s">
        <v>2233</v>
      </c>
      <c r="D38" s="472"/>
      <c r="N38" s="247" t="s">
        <v>2177</v>
      </c>
    </row>
    <row r="39" spans="1:14" s="225" customFormat="1" ht="15.75" customHeight="1">
      <c r="A39" s="224"/>
      <c r="B39" s="224"/>
      <c r="C39" s="472" t="s">
        <v>2234</v>
      </c>
      <c r="D39" s="472"/>
      <c r="N39" s="247"/>
    </row>
    <row r="40" spans="1:14" s="225" customFormat="1" ht="15.75" customHeight="1">
      <c r="A40" s="224"/>
      <c r="B40" s="224"/>
      <c r="C40" s="472" t="s">
        <v>2235</v>
      </c>
      <c r="D40" s="472"/>
      <c r="N40" s="247"/>
    </row>
    <row r="41" spans="1:14" s="225" customFormat="1" ht="15.75" customHeight="1">
      <c r="A41" s="224"/>
      <c r="B41" s="224"/>
      <c r="C41" s="472" t="s">
        <v>2236</v>
      </c>
      <c r="D41" s="472"/>
      <c r="N41" s="247"/>
    </row>
    <row r="42" spans="1:14" s="225" customFormat="1" ht="15.75" customHeight="1">
      <c r="A42" s="224"/>
      <c r="B42" s="224"/>
      <c r="C42" s="224"/>
      <c r="D42" s="224"/>
      <c r="N42" s="247"/>
    </row>
    <row r="43" spans="1:14" s="225" customFormat="1" ht="15.75" customHeight="1">
      <c r="A43" s="224"/>
      <c r="B43" s="224" t="s">
        <v>2070</v>
      </c>
      <c r="C43" s="224" t="s">
        <v>2237</v>
      </c>
      <c r="D43" s="224"/>
      <c r="N43" s="247" t="s">
        <v>2002</v>
      </c>
    </row>
    <row r="44" spans="1:14" s="225" customFormat="1" ht="15.75" customHeight="1">
      <c r="A44" s="224"/>
      <c r="B44" s="224"/>
      <c r="C44" s="472"/>
      <c r="D44" s="472"/>
      <c r="N44" s="247"/>
    </row>
    <row r="45" spans="1:14" s="225" customFormat="1" ht="15.75" customHeight="1">
      <c r="A45" s="224"/>
      <c r="B45" s="224" t="s">
        <v>2076</v>
      </c>
      <c r="C45" s="224" t="s">
        <v>1386</v>
      </c>
      <c r="D45" s="472"/>
      <c r="N45" s="247" t="s">
        <v>1311</v>
      </c>
    </row>
    <row r="46" spans="1:14" s="225" customFormat="1" ht="15.75" customHeight="1">
      <c r="A46" s="224"/>
      <c r="B46" s="224"/>
      <c r="C46" s="472" t="s">
        <v>2238</v>
      </c>
      <c r="D46" s="472"/>
      <c r="N46" s="247"/>
    </row>
    <row r="47" spans="1:14" s="225" customFormat="1" ht="15.75" customHeight="1">
      <c r="A47" s="224"/>
      <c r="B47" s="224"/>
      <c r="C47" s="472" t="s">
        <v>2239</v>
      </c>
      <c r="D47" s="472"/>
      <c r="N47" s="247"/>
    </row>
    <row r="48" spans="1:14" s="225" customFormat="1" ht="15.75" customHeight="1">
      <c r="A48" s="224"/>
      <c r="B48" s="224"/>
      <c r="C48" s="472" t="s">
        <v>2240</v>
      </c>
      <c r="D48" s="472"/>
      <c r="N48" s="247"/>
    </row>
    <row r="49" spans="1:14" s="225" customFormat="1" ht="15.75" customHeight="1">
      <c r="A49" s="224"/>
      <c r="B49" s="224"/>
      <c r="C49" s="472" t="s">
        <v>2241</v>
      </c>
      <c r="D49" s="472"/>
      <c r="N49" s="247"/>
    </row>
    <row r="50" spans="1:14" s="225" customFormat="1" ht="15.75" customHeight="1">
      <c r="A50" s="224"/>
      <c r="B50" s="224"/>
      <c r="C50" s="472"/>
      <c r="D50" s="472"/>
      <c r="N50" s="247"/>
    </row>
    <row r="51" spans="1:14" s="225" customFormat="1" ht="15.75" customHeight="1">
      <c r="A51" s="224"/>
      <c r="B51" s="224" t="s">
        <v>2096</v>
      </c>
      <c r="C51" s="472" t="s">
        <v>1391</v>
      </c>
      <c r="D51" s="472"/>
      <c r="N51" s="247"/>
    </row>
    <row r="52" spans="1:14" s="225" customFormat="1" ht="15.75" customHeight="1">
      <c r="A52" s="224"/>
      <c r="B52" s="224"/>
      <c r="C52" s="472"/>
      <c r="D52" s="472"/>
      <c r="N52" s="247"/>
    </row>
    <row r="53" spans="1:14" s="225" customFormat="1" ht="15.75" customHeight="1">
      <c r="C53" s="224"/>
      <c r="D53" s="224"/>
      <c r="N53" s="247"/>
    </row>
    <row r="54" spans="1:14" s="225" customFormat="1" ht="15.75" customHeight="1">
      <c r="B54" s="253"/>
      <c r="C54" s="472"/>
      <c r="D54" s="224"/>
      <c r="N54" s="247"/>
    </row>
    <row r="55" spans="1:14" s="225" customFormat="1" ht="15.75" customHeight="1">
      <c r="C55" s="224"/>
      <c r="D55" s="472"/>
      <c r="N55" s="247"/>
    </row>
    <row r="56" spans="1:14" s="225" customFormat="1" ht="15.75" customHeight="1">
      <c r="C56" s="224"/>
      <c r="D56" s="472"/>
      <c r="N56" s="247"/>
    </row>
    <row r="57" spans="1:14" s="225" customFormat="1" ht="15.75" customHeight="1">
      <c r="B57" s="224"/>
      <c r="C57" s="472"/>
      <c r="D57" s="472"/>
      <c r="N57" s="247"/>
    </row>
    <row r="58" spans="1:14" s="225" customFormat="1" ht="15.75" customHeight="1">
      <c r="C58" s="224"/>
      <c r="D58" s="472"/>
      <c r="N58" s="247"/>
    </row>
    <row r="59" spans="1:14" s="225" customFormat="1" ht="15.75" customHeight="1">
      <c r="B59" s="224"/>
      <c r="C59" s="224"/>
      <c r="D59" s="472"/>
      <c r="N59" s="247"/>
    </row>
    <row r="60" spans="1:14" s="225" customFormat="1" ht="15.75" customHeight="1">
      <c r="B60" s="224"/>
      <c r="C60" s="472"/>
      <c r="D60" s="472"/>
      <c r="N60" s="247"/>
    </row>
    <row r="61" spans="1:14" s="225" customFormat="1" ht="15.75" customHeight="1">
      <c r="D61" s="472"/>
      <c r="N61" s="247"/>
    </row>
    <row r="62" spans="1:14" s="225" customFormat="1" ht="15.75" customHeight="1">
      <c r="D62" s="472"/>
      <c r="N62" s="247"/>
    </row>
    <row r="63" spans="1:14" s="225" customFormat="1" ht="15.75" customHeight="1">
      <c r="D63" s="472"/>
      <c r="N63" s="247"/>
    </row>
    <row r="64" spans="1:14" s="225" customFormat="1" ht="15.75" customHeight="1">
      <c r="D64" s="472"/>
      <c r="N64" s="247"/>
    </row>
    <row r="65" spans="1:14" s="225" customFormat="1" ht="15.75" customHeight="1">
      <c r="B65" s="224"/>
      <c r="C65" s="224"/>
      <c r="D65" s="472"/>
      <c r="N65" s="247"/>
    </row>
    <row r="66" spans="1:14" s="225" customFormat="1" ht="15.75" customHeight="1">
      <c r="D66" s="472"/>
      <c r="N66" s="247"/>
    </row>
    <row r="67" spans="1:14" s="225" customFormat="1" ht="15.75" customHeight="1">
      <c r="C67" s="224"/>
      <c r="D67" s="472"/>
    </row>
    <row r="68" spans="1:14" s="225" customFormat="1" ht="15.75" customHeight="1">
      <c r="D68" s="472"/>
    </row>
    <row r="69" spans="1:14" s="229" customFormat="1" ht="15.75" customHeight="1">
      <c r="A69" s="253"/>
      <c r="B69" s="253"/>
      <c r="C69" s="224"/>
      <c r="D69" s="224"/>
      <c r="E69" s="225"/>
      <c r="F69" s="225"/>
      <c r="G69" s="225"/>
      <c r="H69" s="225"/>
      <c r="I69" s="225"/>
      <c r="J69" s="225"/>
      <c r="K69" s="225"/>
      <c r="L69" s="225"/>
    </row>
    <row r="70" spans="1:14" s="225" customFormat="1" ht="15.75" customHeight="1">
      <c r="A70" s="264"/>
      <c r="B70" s="224"/>
      <c r="C70" s="224"/>
      <c r="D70" s="224"/>
    </row>
    <row r="71" spans="1:14" s="225" customFormat="1" ht="15.75" customHeight="1">
      <c r="A71" s="264"/>
      <c r="B71" s="264"/>
    </row>
    <row r="72" spans="1:14" s="225" customFormat="1" ht="15.75" customHeight="1">
      <c r="A72" s="264"/>
      <c r="B72" s="264"/>
      <c r="C72" s="224"/>
      <c r="D72" s="224"/>
    </row>
    <row r="73" spans="1:14" s="225" customFormat="1" ht="15.75" customHeight="1">
      <c r="A73" s="264"/>
      <c r="B73" s="264"/>
      <c r="D73" s="224"/>
    </row>
    <row r="74" spans="1:14" s="225" customFormat="1" ht="15.75" customHeight="1">
      <c r="A74" s="264"/>
      <c r="B74" s="264"/>
    </row>
    <row r="75" spans="1:14" s="225" customFormat="1" ht="15.75" customHeight="1">
      <c r="A75" s="264"/>
      <c r="B75" s="264"/>
      <c r="C75" s="224"/>
      <c r="D75" s="224"/>
    </row>
    <row r="76" spans="1:14" s="225" customFormat="1" ht="15.75" customHeight="1">
      <c r="A76" s="264"/>
      <c r="B76" s="264"/>
    </row>
    <row r="77" spans="1:14" s="225" customFormat="1" ht="15.75" customHeight="1">
      <c r="A77" s="264"/>
      <c r="B77" s="264"/>
      <c r="C77" s="224"/>
      <c r="D77" s="224"/>
    </row>
    <row r="78" spans="1:14" s="225" customFormat="1" ht="15.75" customHeight="1">
      <c r="A78" s="264"/>
      <c r="B78" s="264"/>
    </row>
    <row r="79" spans="1:14" s="225" customFormat="1" ht="15.75" customHeight="1">
      <c r="A79" s="264"/>
      <c r="B79" s="253"/>
      <c r="N79" s="247"/>
    </row>
    <row r="80" spans="1:14" s="225" customFormat="1" ht="15.75" customHeight="1">
      <c r="A80" s="264"/>
      <c r="B80" s="264"/>
    </row>
    <row r="81" spans="1:14" s="225" customFormat="1" ht="15.75" customHeight="1">
      <c r="A81" s="264"/>
      <c r="B81" s="253"/>
      <c r="C81" s="224"/>
      <c r="N81" s="247"/>
    </row>
    <row r="82" spans="1:14" s="225" customFormat="1" ht="15.75" customHeight="1">
      <c r="A82" s="264"/>
      <c r="B82" s="264"/>
    </row>
    <row r="83" spans="1:14" s="225" customFormat="1" ht="15.75" customHeight="1">
      <c r="A83" s="264"/>
      <c r="B83" s="253"/>
      <c r="C83" s="224"/>
      <c r="N83" s="247"/>
    </row>
    <row r="84" spans="1:14" s="225" customFormat="1" ht="15.75" customHeight="1">
      <c r="A84" s="264"/>
      <c r="B84" s="264"/>
      <c r="D84" s="224"/>
    </row>
    <row r="85" spans="1:14" s="225" customFormat="1" ht="15.75" customHeight="1">
      <c r="A85" s="264"/>
      <c r="B85" s="264"/>
      <c r="D85" s="224"/>
    </row>
    <row r="86" spans="1:14" s="225" customFormat="1" ht="15.75" customHeight="1">
      <c r="A86" s="264"/>
      <c r="B86" s="264"/>
    </row>
    <row r="87" spans="1:14" s="225" customFormat="1" ht="15.75" customHeight="1">
      <c r="A87" s="264"/>
      <c r="B87" s="253"/>
      <c r="C87" s="224"/>
      <c r="N87" s="247"/>
    </row>
    <row r="88" spans="1:14" s="225" customFormat="1" ht="15.75" customHeight="1">
      <c r="A88" s="264"/>
      <c r="B88" s="264"/>
    </row>
    <row r="89" spans="1:14" s="225" customFormat="1" ht="15.75" customHeight="1">
      <c r="B89" s="224"/>
      <c r="C89" s="224"/>
      <c r="N89" s="247"/>
    </row>
    <row r="90" spans="1:14" s="225" customFormat="1" ht="15.75" customHeight="1"/>
    <row r="91" spans="1:14" s="225" customFormat="1" ht="15.75" customHeight="1">
      <c r="B91" s="224"/>
      <c r="C91" s="224"/>
      <c r="N91" s="247"/>
    </row>
    <row r="92" spans="1:14" s="225" customFormat="1" ht="15.75" customHeight="1"/>
    <row r="93" spans="1:14" s="225" customFormat="1" ht="15.75" customHeight="1">
      <c r="B93" s="224"/>
      <c r="C93" s="227"/>
      <c r="N93" s="252"/>
    </row>
    <row r="94" spans="1:14" s="225" customFormat="1" ht="15.75" customHeight="1">
      <c r="D94" s="223"/>
    </row>
    <row r="95" spans="1:14" s="225" customFormat="1" ht="15.75" customHeight="1">
      <c r="D95" s="223"/>
    </row>
    <row r="96" spans="1:14" s="225" customFormat="1" ht="15.75" customHeight="1">
      <c r="D96" s="223"/>
    </row>
    <row r="97" spans="2:3" s="225" customFormat="1" ht="15.75" customHeight="1"/>
    <row r="98" spans="2:3" s="225" customFormat="1" ht="15.75" customHeight="1">
      <c r="B98" s="224"/>
      <c r="C98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37">
    <tabColor rgb="FF00B050"/>
  </sheetPr>
  <dimension ref="A1:J137"/>
  <sheetViews>
    <sheetView zoomScaleSheetLayoutView="85" workbookViewId="0">
      <selection activeCell="F6" sqref="F6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36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0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240</v>
      </c>
      <c r="G1" s="1272"/>
      <c r="H1" s="1273" t="s">
        <v>241</v>
      </c>
      <c r="I1" s="1273"/>
      <c r="J1" s="374" t="s">
        <v>242</v>
      </c>
    </row>
    <row r="2" spans="1:10" ht="15.75" customHeight="1">
      <c r="A2" s="375" t="str">
        <f>TableofContents!$D$28</f>
        <v>매출원가 및 제조원가</v>
      </c>
      <c r="B2" s="446"/>
      <c r="C2" s="446"/>
      <c r="D2" s="446"/>
      <c r="E2" s="446"/>
      <c r="F2" s="1274" t="str">
        <f>TableofContents!$B$28</f>
        <v>Q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0" ht="15.75" customHeight="1">
      <c r="D6" s="221">
        <f>기본사항!$C$11</f>
        <v>40543</v>
      </c>
      <c r="F6" s="447" t="s">
        <v>711</v>
      </c>
      <c r="H6" s="221">
        <f>기본사항!$C$12</f>
        <v>40908</v>
      </c>
    </row>
    <row r="7" spans="1:10" ht="15.75" customHeight="1">
      <c r="A7" s="231" t="str">
        <f>FS_worksheet!$C$148</f>
        <v>제품매출원가</v>
      </c>
      <c r="B7" s="231"/>
      <c r="C7" s="230"/>
      <c r="D7" s="230">
        <f>VLOOKUP($A7,FS_worksheet!$C$131:$H$221,3,FALSE)</f>
        <v>0</v>
      </c>
      <c r="E7" s="230"/>
      <c r="F7" s="231"/>
      <c r="G7" s="232"/>
      <c r="H7" s="230">
        <f>VLOOKUP($A7,FS_worksheet!$C$131:$H$221,5,FALSE)</f>
        <v>0</v>
      </c>
    </row>
    <row r="8" spans="1:10" ht="15.75" customHeight="1">
      <c r="A8" s="233"/>
      <c r="B8" s="234" t="str">
        <f>FS_worksheet!D149</f>
        <v>기초제품재고액</v>
      </c>
      <c r="C8" s="233"/>
      <c r="D8" s="233">
        <f>VLOOKUP($B8,FS_worksheet!$D$131:$H$221,2,FALSE)</f>
        <v>0</v>
      </c>
      <c r="E8" s="233"/>
      <c r="F8" s="234">
        <f>H8-D8</f>
        <v>0</v>
      </c>
      <c r="G8" s="235"/>
      <c r="H8" s="233">
        <f>VLOOKUP($B8,FS_worksheet!$D$131:$H$221,4,FALSE)</f>
        <v>0</v>
      </c>
    </row>
    <row r="9" spans="1:10" ht="15.75" customHeight="1">
      <c r="A9" s="233"/>
      <c r="B9" s="234" t="str">
        <f>FS_worksheet!D150</f>
        <v>당기제품제조원가</v>
      </c>
      <c r="C9" s="233"/>
      <c r="D9" s="233">
        <f>VLOOKUP($B9,FS_worksheet!$D$131:$H$221,2,FALSE)</f>
        <v>0</v>
      </c>
      <c r="E9" s="233"/>
      <c r="F9" s="234">
        <f t="shared" ref="F9:F10" si="0">H9-D9</f>
        <v>0</v>
      </c>
      <c r="G9" s="235"/>
      <c r="H9" s="233">
        <f>VLOOKUP($B9,FS_worksheet!$D$131:$H$221,4,FALSE)</f>
        <v>0</v>
      </c>
    </row>
    <row r="10" spans="1:10" ht="15.75" customHeight="1">
      <c r="A10" s="233"/>
      <c r="B10" s="234" t="str">
        <f>FS_worksheet!D151</f>
        <v>기말제품재고액</v>
      </c>
      <c r="C10" s="233"/>
      <c r="D10" s="233">
        <f>VLOOKUP($B10,FS_worksheet!$D$131:$H$221,2,FALSE)</f>
        <v>0</v>
      </c>
      <c r="E10" s="233"/>
      <c r="F10" s="234">
        <f t="shared" si="0"/>
        <v>0</v>
      </c>
      <c r="G10" s="235"/>
      <c r="H10" s="233">
        <f>VLOOKUP($B10,FS_worksheet!$D$131:$H$221,4,FALSE)</f>
        <v>0</v>
      </c>
    </row>
    <row r="11" spans="1:10" ht="15.75" customHeight="1">
      <c r="A11" s="231" t="str">
        <f>FS_worksheet!$C$152</f>
        <v>상품매출원가</v>
      </c>
      <c r="B11" s="231"/>
      <c r="C11" s="230"/>
      <c r="D11" s="230">
        <f>VLOOKUP($A11,FS_worksheet!$C$131:$H$221,3,FALSE)</f>
        <v>0</v>
      </c>
      <c r="E11" s="230"/>
      <c r="F11" s="231"/>
      <c r="G11" s="232"/>
      <c r="H11" s="230">
        <f>VLOOKUP($A11,FS_worksheet!$C$131:$H$221,5,FALSE)</f>
        <v>0</v>
      </c>
    </row>
    <row r="12" spans="1:10" ht="15.75" customHeight="1">
      <c r="A12" s="233"/>
      <c r="B12" s="234" t="str">
        <f>FS_worksheet!D153</f>
        <v>기초상품재고액</v>
      </c>
      <c r="C12" s="233"/>
      <c r="D12" s="233">
        <f>VLOOKUP($B12,FS_worksheet!$D$131:$H$221,2,FALSE)</f>
        <v>0</v>
      </c>
      <c r="E12" s="233"/>
      <c r="F12" s="234">
        <f t="shared" ref="F12:F14" si="1">H12-D12</f>
        <v>0</v>
      </c>
      <c r="G12" s="235"/>
      <c r="H12" s="233">
        <f>VLOOKUP($B12,FS_worksheet!$D$131:$H$221,4,FALSE)</f>
        <v>0</v>
      </c>
    </row>
    <row r="13" spans="1:10" ht="15.75" customHeight="1">
      <c r="A13" s="233"/>
      <c r="B13" s="234" t="str">
        <f>FS_worksheet!D154</f>
        <v>당기상품매입액</v>
      </c>
      <c r="C13" s="233"/>
      <c r="D13" s="233">
        <f>VLOOKUP($B13,FS_worksheet!$D$131:$H$221,2,FALSE)</f>
        <v>0</v>
      </c>
      <c r="E13" s="233"/>
      <c r="F13" s="234">
        <f t="shared" si="1"/>
        <v>0</v>
      </c>
      <c r="G13" s="235"/>
      <c r="H13" s="233">
        <f>VLOOKUP($B13,FS_worksheet!$D$131:$H$221,4,FALSE)</f>
        <v>0</v>
      </c>
    </row>
    <row r="14" spans="1:10" ht="15.75" customHeight="1">
      <c r="A14" s="233"/>
      <c r="B14" s="234" t="str">
        <f>FS_worksheet!D155</f>
        <v>기말상품재고액</v>
      </c>
      <c r="C14" s="233"/>
      <c r="D14" s="233">
        <f>VLOOKUP($B14,FS_worksheet!$D$131:$H$221,2,FALSE)</f>
        <v>0</v>
      </c>
      <c r="E14" s="233"/>
      <c r="F14" s="234">
        <f t="shared" si="1"/>
        <v>0</v>
      </c>
      <c r="G14" s="235"/>
      <c r="H14" s="233">
        <f>VLOOKUP($B14,FS_worksheet!$D$131:$H$221,4,FALSE)</f>
        <v>0</v>
      </c>
    </row>
    <row r="15" spans="1:10" ht="15.75" customHeight="1">
      <c r="A15" s="231" t="str">
        <f>FS_worksheet!$C$156</f>
        <v>기타매출원가</v>
      </c>
      <c r="B15" s="231"/>
      <c r="C15" s="230"/>
      <c r="D15" s="230">
        <f>VLOOKUP($A15,FS_worksheet!$C$131:$H$221,3,FALSE)</f>
        <v>0</v>
      </c>
      <c r="E15" s="230"/>
      <c r="F15" s="231"/>
      <c r="G15" s="232"/>
      <c r="H15" s="230">
        <f>VLOOKUP($A15,FS_worksheet!$C$131:$H$221,5,FALSE)</f>
        <v>0</v>
      </c>
    </row>
    <row r="16" spans="1:10" ht="15.75" customHeight="1">
      <c r="A16" s="233"/>
      <c r="B16" s="234" t="str">
        <f>FS_worksheet!D157</f>
        <v>기초제품재고액</v>
      </c>
      <c r="C16" s="233"/>
      <c r="D16" s="233">
        <f>VLOOKUP($B16,FS_worksheet!$D$131:$H$221,2,FALSE)</f>
        <v>0</v>
      </c>
      <c r="E16" s="233"/>
      <c r="F16" s="234">
        <f t="shared" ref="F16:F18" si="2">H16-D16</f>
        <v>0</v>
      </c>
      <c r="G16" s="235"/>
      <c r="H16" s="233">
        <f>VLOOKUP($B16,FS_worksheet!$D$131:$H$221,4,FALSE)</f>
        <v>0</v>
      </c>
    </row>
    <row r="17" spans="1:8" ht="15.75" customHeight="1">
      <c r="A17" s="233"/>
      <c r="B17" s="234" t="str">
        <f>FS_worksheet!D158</f>
        <v>당기제품제조원가</v>
      </c>
      <c r="C17" s="233"/>
      <c r="D17" s="233">
        <f>VLOOKUP($B17,FS_worksheet!$D$131:$H$221,2,FALSE)</f>
        <v>0</v>
      </c>
      <c r="E17" s="233"/>
      <c r="F17" s="234">
        <f t="shared" si="2"/>
        <v>0</v>
      </c>
      <c r="G17" s="235"/>
      <c r="H17" s="233">
        <f>VLOOKUP($B17,FS_worksheet!$D$131:$H$221,4,FALSE)</f>
        <v>0</v>
      </c>
    </row>
    <row r="18" spans="1:8" ht="15.75" customHeight="1">
      <c r="A18" s="233"/>
      <c r="B18" s="234" t="str">
        <f>FS_worksheet!D159</f>
        <v>기말제품재고액</v>
      </c>
      <c r="C18" s="233"/>
      <c r="D18" s="233">
        <f>VLOOKUP($B18,FS_worksheet!$D$131:$H$221,2,FALSE)</f>
        <v>0</v>
      </c>
      <c r="E18" s="233"/>
      <c r="F18" s="234">
        <f t="shared" si="2"/>
        <v>0</v>
      </c>
      <c r="G18" s="235"/>
      <c r="H18" s="233">
        <f>VLOOKUP($B18,FS_worksheet!$D$131:$H$221,4,FALSE)</f>
        <v>0</v>
      </c>
    </row>
    <row r="19" spans="1:8" ht="15.75" customHeight="1">
      <c r="A19" s="233"/>
      <c r="F19" s="223"/>
    </row>
    <row r="20" spans="1:8" ht="15.75" customHeight="1">
      <c r="A20" s="233"/>
      <c r="F20" s="223"/>
    </row>
    <row r="21" spans="1:8" ht="15.75" customHeight="1">
      <c r="A21" s="222" t="s">
        <v>244</v>
      </c>
      <c r="F21" s="223"/>
    </row>
    <row r="22" spans="1:8" ht="15.75" customHeight="1">
      <c r="A22" s="227" t="s">
        <v>247</v>
      </c>
      <c r="B22" s="223" t="s">
        <v>968</v>
      </c>
      <c r="F22" s="223"/>
    </row>
    <row r="23" spans="1:8" ht="15.75" customHeight="1">
      <c r="A23" s="227" t="s">
        <v>34</v>
      </c>
      <c r="B23" s="223" t="s">
        <v>969</v>
      </c>
      <c r="F23" s="223"/>
    </row>
    <row r="24" spans="1:8" ht="15.75" customHeight="1">
      <c r="A24" s="227" t="s">
        <v>35</v>
      </c>
      <c r="B24" s="223" t="s">
        <v>970</v>
      </c>
      <c r="F24" s="223"/>
    </row>
    <row r="25" spans="1:8" ht="15.75" customHeight="1">
      <c r="A25" s="227" t="s">
        <v>36</v>
      </c>
      <c r="B25" s="223" t="s">
        <v>971</v>
      </c>
      <c r="F25" s="223"/>
    </row>
    <row r="26" spans="1:8" ht="15.75" customHeight="1">
      <c r="F26" s="223"/>
    </row>
    <row r="27" spans="1:8" ht="15.75" customHeight="1">
      <c r="F27" s="223"/>
    </row>
    <row r="28" spans="1:8" ht="15.75" customHeight="1">
      <c r="A28" s="222" t="s">
        <v>246</v>
      </c>
      <c r="F28" s="223"/>
    </row>
    <row r="29" spans="1:8" ht="15.75" customHeight="1">
      <c r="A29" s="227" t="s">
        <v>247</v>
      </c>
      <c r="B29" s="223" t="s">
        <v>975</v>
      </c>
      <c r="F29" s="223"/>
    </row>
    <row r="30" spans="1:8" ht="15.75" customHeight="1">
      <c r="A30" s="227" t="s">
        <v>34</v>
      </c>
      <c r="B30" s="223" t="s">
        <v>972</v>
      </c>
      <c r="F30" s="223"/>
    </row>
    <row r="31" spans="1:8" ht="15.75" customHeight="1">
      <c r="A31" s="227" t="s">
        <v>35</v>
      </c>
      <c r="B31" s="223" t="s">
        <v>976</v>
      </c>
      <c r="F31" s="223"/>
    </row>
    <row r="32" spans="1:8" ht="15.75" customHeight="1">
      <c r="A32" s="227" t="s">
        <v>36</v>
      </c>
      <c r="B32" s="223" t="s">
        <v>973</v>
      </c>
      <c r="F32" s="223"/>
    </row>
    <row r="33" spans="1:6" ht="15.75" customHeight="1">
      <c r="A33" s="227" t="s">
        <v>39</v>
      </c>
      <c r="B33" s="223" t="s">
        <v>974</v>
      </c>
      <c r="F33" s="223"/>
    </row>
    <row r="34" spans="1:6" ht="15.75" customHeight="1">
      <c r="F34" s="223"/>
    </row>
    <row r="35" spans="1:6" s="225" customFormat="1" ht="15.75" customHeight="1">
      <c r="A35" s="228" t="s">
        <v>248</v>
      </c>
    </row>
    <row r="36" spans="1:6" s="225" customFormat="1" ht="15.75" customHeight="1"/>
    <row r="37" spans="1:6" s="225" customFormat="1" ht="15.75" customHeight="1"/>
    <row r="38" spans="1:6" s="225" customFormat="1" ht="15.75" customHeight="1">
      <c r="A38" s="228" t="s">
        <v>762</v>
      </c>
    </row>
    <row r="39" spans="1:6" s="225" customFormat="1" ht="15.75" customHeight="1">
      <c r="A39" s="253" t="s">
        <v>761</v>
      </c>
    </row>
    <row r="40" spans="1:6" s="225" customFormat="1" ht="15.75" customHeight="1">
      <c r="A40" s="264"/>
      <c r="B40" s="225" t="s">
        <v>754</v>
      </c>
      <c r="F40" s="225" t="s">
        <v>755</v>
      </c>
    </row>
    <row r="41" spans="1:6" s="225" customFormat="1" ht="15.75" customHeight="1"/>
    <row r="42" spans="1:6" s="225" customFormat="1" ht="15.75" customHeight="1"/>
    <row r="43" spans="1:6" s="225" customFormat="1" ht="15.75" customHeight="1"/>
    <row r="44" spans="1:6" s="225" customFormat="1" ht="15.75" customHeight="1"/>
    <row r="45" spans="1:6" s="225" customFormat="1" ht="15.75" customHeight="1"/>
    <row r="46" spans="1:6" s="225" customFormat="1" ht="15.75" customHeight="1"/>
    <row r="47" spans="1:6" s="225" customFormat="1" ht="15.75" customHeight="1"/>
    <row r="48" spans="1:6" ht="15.75" customHeight="1">
      <c r="F48" s="223"/>
    </row>
    <row r="49" s="223" customFormat="1" ht="15.75" customHeight="1"/>
    <row r="50" s="223" customFormat="1" ht="15.75" customHeight="1"/>
    <row r="51" s="223" customFormat="1" ht="15.75" customHeight="1"/>
    <row r="52" s="223" customFormat="1" ht="15.75" customHeight="1"/>
    <row r="53" s="223" customFormat="1" ht="15.75" customHeight="1"/>
    <row r="54" s="223" customFormat="1" ht="15.75" customHeight="1"/>
    <row r="55" s="223" customFormat="1" ht="15.75" customHeight="1"/>
    <row r="56" s="223" customFormat="1" ht="15.75" customHeight="1"/>
    <row r="57" s="223" customFormat="1" ht="15.75" customHeight="1"/>
    <row r="58" s="223" customFormat="1" ht="15.75" customHeight="1"/>
    <row r="59" s="223" customFormat="1" ht="15.75" customHeight="1"/>
    <row r="60" s="223" customFormat="1" ht="15.75" customHeight="1"/>
    <row r="61" s="223" customFormat="1" ht="15.75" customHeight="1"/>
    <row r="62" s="223" customFormat="1" ht="15.75" customHeight="1"/>
    <row r="63" s="223" customFormat="1" ht="15.75" customHeight="1"/>
    <row r="64" s="223" customFormat="1" ht="15.75" customHeight="1"/>
    <row r="65" s="223" customFormat="1" ht="15.75" customHeight="1"/>
    <row r="66" s="223" customFormat="1" ht="15.75" customHeight="1"/>
    <row r="67" s="223" customFormat="1" ht="15.75" customHeight="1"/>
    <row r="68" s="223" customFormat="1" ht="15.75" customHeight="1"/>
    <row r="69" s="223" customFormat="1" ht="15.75" customHeight="1"/>
    <row r="70" s="223" customFormat="1" ht="15.75" customHeight="1"/>
    <row r="71" s="223" customFormat="1" ht="15.75" customHeight="1"/>
    <row r="72" s="223" customFormat="1" ht="15.75" customHeight="1"/>
    <row r="73" s="223" customFormat="1" ht="15.75" customHeight="1"/>
    <row r="74" s="223" customFormat="1" ht="15.75" customHeight="1"/>
    <row r="75" s="223" customFormat="1" ht="15.75" customHeight="1"/>
    <row r="76" s="223" customFormat="1" ht="15.75" customHeight="1"/>
    <row r="77" s="223" customFormat="1" ht="15.75" customHeight="1"/>
    <row r="78" s="223" customFormat="1" ht="15.75" customHeight="1"/>
    <row r="79" s="223" customFormat="1" ht="15.75" customHeight="1"/>
    <row r="80" s="223" customFormat="1" ht="15.75" customHeight="1"/>
    <row r="81" s="223" customFormat="1" ht="15.75" customHeight="1"/>
    <row r="82" s="223" customFormat="1" ht="15.75" customHeight="1"/>
    <row r="83" s="223" customFormat="1" ht="15.75" customHeight="1"/>
    <row r="84" s="223" customFormat="1" ht="15.75" customHeight="1"/>
    <row r="85" s="223" customFormat="1" ht="15.75" customHeight="1"/>
    <row r="86" s="223" customFormat="1" ht="15.75" customHeight="1"/>
    <row r="87" s="223" customFormat="1" ht="15.75" customHeight="1"/>
    <row r="88" s="223" customFormat="1" ht="15.75" customHeight="1"/>
    <row r="89" s="223" customFormat="1" ht="15.75" customHeight="1"/>
    <row r="90" s="223" customFormat="1" ht="15.75" customHeight="1"/>
    <row r="91" s="223" customFormat="1" ht="15.75" customHeight="1"/>
    <row r="92" s="223" customFormat="1" ht="15.75" customHeight="1"/>
    <row r="93" s="223" customFormat="1" ht="15.75" customHeight="1"/>
    <row r="94" s="223" customFormat="1" ht="15.75" customHeight="1"/>
    <row r="95" s="223" customFormat="1" ht="15.75" customHeight="1"/>
    <row r="96" s="223" customFormat="1" ht="15.75" customHeight="1"/>
    <row r="97" spans="6:6" ht="15.75" customHeight="1">
      <c r="F97" s="223"/>
    </row>
    <row r="98" spans="6:6" ht="15.75" customHeight="1">
      <c r="F98" s="223"/>
    </row>
    <row r="99" spans="6:6" ht="15.75" customHeight="1">
      <c r="F99" s="223"/>
    </row>
    <row r="100" spans="6:6" ht="15.75" customHeight="1">
      <c r="F100" s="223"/>
    </row>
    <row r="101" spans="6:6" ht="15.75" customHeight="1">
      <c r="F101" s="223"/>
    </row>
    <row r="102" spans="6:6" ht="15.75" customHeight="1">
      <c r="F102" s="223"/>
    </row>
    <row r="103" spans="6:6" ht="15.75" customHeight="1">
      <c r="F103" s="223"/>
    </row>
    <row r="104" spans="6:6" ht="15.75" customHeight="1">
      <c r="F104" s="223"/>
    </row>
    <row r="105" spans="6:6" ht="15.75" customHeight="1">
      <c r="F105" s="223"/>
    </row>
    <row r="106" spans="6:6" ht="15.75" customHeight="1">
      <c r="F106" s="223"/>
    </row>
    <row r="107" spans="6:6" ht="15.75" customHeight="1">
      <c r="F107" s="223"/>
    </row>
    <row r="108" spans="6:6" ht="15.75" customHeight="1">
      <c r="F108" s="223"/>
    </row>
    <row r="109" spans="6:6" ht="15.75" customHeight="1">
      <c r="F109" s="223"/>
    </row>
    <row r="110" spans="6:6" ht="15.75" customHeight="1">
      <c r="F110" s="223"/>
    </row>
    <row r="111" spans="6:6" ht="15.75" customHeight="1">
      <c r="F111" s="223"/>
    </row>
    <row r="112" spans="6:6" ht="15.75" customHeight="1">
      <c r="F112" s="223"/>
    </row>
    <row r="113" spans="6:6" ht="15.75" customHeight="1">
      <c r="F113" s="223"/>
    </row>
    <row r="114" spans="6:6" ht="15.75" customHeight="1">
      <c r="F114" s="223"/>
    </row>
    <row r="115" spans="6:6" ht="15.75" customHeight="1">
      <c r="F115" s="223"/>
    </row>
    <row r="116" spans="6:6" ht="15.75" customHeight="1">
      <c r="F116" s="223"/>
    </row>
    <row r="117" spans="6:6" ht="15.75" customHeight="1">
      <c r="F117" s="223"/>
    </row>
    <row r="118" spans="6:6" ht="15.75" customHeight="1">
      <c r="F118" s="223"/>
    </row>
    <row r="119" spans="6:6" ht="15.75" customHeight="1">
      <c r="F119" s="223"/>
    </row>
    <row r="120" spans="6:6" ht="15.75" customHeight="1">
      <c r="F120" s="223"/>
    </row>
    <row r="121" spans="6:6" ht="15.75" customHeight="1">
      <c r="F121" s="223"/>
    </row>
    <row r="122" spans="6:6" ht="15.75" customHeight="1">
      <c r="F122" s="223"/>
    </row>
    <row r="123" spans="6:6" ht="15.75" customHeight="1">
      <c r="F123" s="223"/>
    </row>
    <row r="124" spans="6:6" ht="15.75" customHeight="1">
      <c r="F124" s="223"/>
    </row>
    <row r="125" spans="6:6" ht="15.75" customHeight="1">
      <c r="F125" s="223"/>
    </row>
    <row r="126" spans="6:6" ht="15.75" customHeight="1">
      <c r="F126" s="223"/>
    </row>
    <row r="127" spans="6:6" ht="15.75" customHeight="1">
      <c r="F127" s="223"/>
    </row>
    <row r="128" spans="6:6" ht="15.75" customHeight="1">
      <c r="F128" s="223"/>
    </row>
    <row r="129" spans="6:6" ht="15.75" customHeight="1">
      <c r="F129" s="223"/>
    </row>
    <row r="130" spans="6:6" ht="15.75" customHeight="1">
      <c r="F130" s="223"/>
    </row>
    <row r="131" spans="6:6" ht="15.75" customHeight="1">
      <c r="F131" s="223"/>
    </row>
    <row r="132" spans="6:6" ht="15.75" customHeight="1">
      <c r="F132" s="223"/>
    </row>
    <row r="133" spans="6:6" ht="15.75" customHeight="1">
      <c r="F133" s="223"/>
    </row>
    <row r="134" spans="6:6" ht="15.75" customHeight="1">
      <c r="F134" s="223"/>
    </row>
    <row r="135" spans="6:6" ht="15.75" customHeight="1">
      <c r="F135" s="223"/>
    </row>
    <row r="136" spans="6:6" ht="15.75" customHeight="1">
      <c r="F136" s="223"/>
    </row>
    <row r="137" spans="6:6" ht="15.75" customHeight="1">
      <c r="F137" s="223"/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F0"/>
  </sheetPr>
  <dimension ref="A1:R28"/>
  <sheetViews>
    <sheetView topLeftCell="A4" workbookViewId="0">
      <selection activeCell="G8" sqref="G8"/>
    </sheetView>
  </sheetViews>
  <sheetFormatPr defaultRowHeight="16.5"/>
  <cols>
    <col min="1" max="1" width="9" bestFit="1" customWidth="1"/>
    <col min="2" max="2" width="16.25" customWidth="1"/>
    <col min="3" max="3" width="12.25" bestFit="1" customWidth="1"/>
    <col min="4" max="4" width="6.375" bestFit="1" customWidth="1"/>
    <col min="5" max="5" width="9.625" bestFit="1" customWidth="1"/>
    <col min="6" max="6" width="9" bestFit="1" customWidth="1"/>
    <col min="7" max="9" width="11" bestFit="1" customWidth="1"/>
    <col min="10" max="10" width="9.875" bestFit="1" customWidth="1"/>
    <col min="11" max="11" width="8.25" bestFit="1" customWidth="1"/>
    <col min="12" max="12" width="8" bestFit="1" customWidth="1"/>
    <col min="13" max="13" width="10.25" bestFit="1" customWidth="1"/>
    <col min="14" max="14" width="9.875" bestFit="1" customWidth="1"/>
    <col min="15" max="15" width="10.875" bestFit="1" customWidth="1"/>
    <col min="16" max="16" width="15" bestFit="1" customWidth="1"/>
    <col min="17" max="17" width="12" bestFit="1" customWidth="1"/>
    <col min="18" max="18" width="18.25" bestFit="1" customWidth="1"/>
  </cols>
  <sheetData>
    <row r="1" spans="1:17">
      <c r="A1" s="371" t="str">
        <f>기본사항!$C$2</f>
        <v>(재)한국여성재단</v>
      </c>
      <c r="B1" s="372"/>
      <c r="C1" s="372"/>
      <c r="D1" s="372"/>
      <c r="E1" s="372"/>
      <c r="F1" s="1271" t="s">
        <v>112</v>
      </c>
      <c r="G1" s="1272"/>
      <c r="H1" s="1273" t="s">
        <v>0</v>
      </c>
      <c r="I1" s="1273"/>
      <c r="J1" s="803" t="s">
        <v>1</v>
      </c>
      <c r="O1" s="887"/>
      <c r="P1" s="887"/>
    </row>
    <row r="2" spans="1:17">
      <c r="A2" s="371" t="s">
        <v>3271</v>
      </c>
      <c r="B2" s="372"/>
      <c r="C2" s="372"/>
      <c r="D2" s="372"/>
      <c r="E2" s="372"/>
      <c r="F2" s="1274" t="s">
        <v>3557</v>
      </c>
      <c r="G2" s="1275"/>
      <c r="H2" s="1198">
        <f>기본사항!$C$14</f>
        <v>40563</v>
      </c>
      <c r="I2" s="1198"/>
      <c r="J2" s="1276" t="str">
        <f>기본사항!$C$17</f>
        <v>Kbj</v>
      </c>
      <c r="O2" s="861"/>
      <c r="P2" s="861"/>
    </row>
    <row r="3" spans="1:17">
      <c r="A3" s="375" t="str">
        <f>기본사항!$C$9</f>
        <v>A : 12-31-2011</v>
      </c>
      <c r="B3" s="372"/>
      <c r="C3" s="372"/>
      <c r="D3" s="372"/>
      <c r="E3" s="372"/>
      <c r="F3" s="1257"/>
      <c r="G3" s="1258"/>
      <c r="H3" s="1198"/>
      <c r="I3" s="1198"/>
      <c r="J3" s="1264"/>
      <c r="O3" s="861"/>
      <c r="P3" s="861"/>
    </row>
    <row r="5" spans="1:17">
      <c r="A5" t="s">
        <v>3297</v>
      </c>
    </row>
    <row r="6" spans="1:17">
      <c r="A6" t="s">
        <v>3298</v>
      </c>
    </row>
    <row r="7" spans="1:17">
      <c r="A7" t="s">
        <v>3299</v>
      </c>
    </row>
    <row r="8" spans="1:17" ht="17.25" thickBot="1"/>
    <row r="9" spans="1:17">
      <c r="A9" s="1288" t="s">
        <v>3504</v>
      </c>
      <c r="B9" s="1288" t="s">
        <v>3505</v>
      </c>
      <c r="C9" s="1288" t="s">
        <v>3506</v>
      </c>
      <c r="D9" s="1288" t="s">
        <v>3507</v>
      </c>
      <c r="E9" s="1288" t="s">
        <v>3508</v>
      </c>
      <c r="F9" s="1288" t="s">
        <v>3509</v>
      </c>
      <c r="G9" s="1292" t="s">
        <v>3109</v>
      </c>
      <c r="H9" s="1293"/>
      <c r="I9" s="1294"/>
      <c r="J9" s="1288" t="s">
        <v>3510</v>
      </c>
      <c r="K9" s="1288" t="s">
        <v>3511</v>
      </c>
      <c r="L9" s="1288" t="s">
        <v>3512</v>
      </c>
      <c r="M9" s="1290" t="s">
        <v>3513</v>
      </c>
      <c r="O9" s="888"/>
      <c r="Q9" s="846">
        <v>40908</v>
      </c>
    </row>
    <row r="10" spans="1:17" ht="17.25" thickBot="1">
      <c r="A10" s="1289" t="s">
        <v>3504</v>
      </c>
      <c r="B10" s="1289" t="s">
        <v>3505</v>
      </c>
      <c r="C10" s="1289" t="s">
        <v>3506</v>
      </c>
      <c r="D10" s="1289" t="s">
        <v>3507</v>
      </c>
      <c r="E10" s="1289" t="s">
        <v>3508</v>
      </c>
      <c r="F10" s="1289" t="s">
        <v>3509</v>
      </c>
      <c r="G10" s="867" t="s">
        <v>3514</v>
      </c>
      <c r="H10" s="867" t="s">
        <v>3515</v>
      </c>
      <c r="I10" s="867" t="s">
        <v>3516</v>
      </c>
      <c r="J10" s="1289" t="s">
        <v>3510</v>
      </c>
      <c r="K10" s="1289" t="s">
        <v>3511</v>
      </c>
      <c r="L10" s="1289" t="s">
        <v>3512</v>
      </c>
      <c r="M10" s="1291" t="s">
        <v>3513</v>
      </c>
      <c r="N10" s="845" t="s">
        <v>3555</v>
      </c>
      <c r="O10" s="845" t="s">
        <v>3556</v>
      </c>
      <c r="P10" s="845" t="s">
        <v>3303</v>
      </c>
      <c r="Q10" s="845" t="s">
        <v>3304</v>
      </c>
    </row>
    <row r="11" spans="1:17">
      <c r="A11" s="868" t="s">
        <v>3273</v>
      </c>
      <c r="B11" s="869" t="s">
        <v>3517</v>
      </c>
      <c r="C11" s="868" t="s">
        <v>3518</v>
      </c>
      <c r="D11" s="868" t="s">
        <v>3519</v>
      </c>
      <c r="E11" s="868" t="s">
        <v>3520</v>
      </c>
      <c r="F11" s="868" t="s">
        <v>3274</v>
      </c>
      <c r="G11" s="870">
        <v>1900000</v>
      </c>
      <c r="H11" s="870">
        <v>1900000</v>
      </c>
      <c r="I11" s="870">
        <v>1900000</v>
      </c>
      <c r="J11" s="868" t="s">
        <v>3521</v>
      </c>
      <c r="K11" s="868" t="s">
        <v>3522</v>
      </c>
      <c r="L11" s="871">
        <v>61956</v>
      </c>
      <c r="M11" s="872">
        <v>9512360</v>
      </c>
      <c r="N11" s="823">
        <f t="shared" ref="N11:N22" si="0">DATEDIF(F11,$Q$9,"d")+1</f>
        <v>1868</v>
      </c>
      <c r="O11" s="823">
        <f t="shared" ref="O11:O22" si="1">(G11+H11+I11)/3</f>
        <v>1900000</v>
      </c>
      <c r="P11" s="823">
        <f>O11*N11/365</f>
        <v>9723835.6164383553</v>
      </c>
      <c r="Q11" s="823">
        <f>P11-M11</f>
        <v>211475.6164383553</v>
      </c>
    </row>
    <row r="12" spans="1:17">
      <c r="A12" s="873" t="s">
        <v>3275</v>
      </c>
      <c r="B12" s="874" t="s">
        <v>3517</v>
      </c>
      <c r="C12" s="873" t="s">
        <v>3523</v>
      </c>
      <c r="D12" s="873" t="s">
        <v>3524</v>
      </c>
      <c r="E12" s="873" t="s">
        <v>3520</v>
      </c>
      <c r="F12" s="873" t="s">
        <v>3276</v>
      </c>
      <c r="G12" s="875">
        <v>2000000</v>
      </c>
      <c r="H12" s="875">
        <v>2000000</v>
      </c>
      <c r="I12" s="875">
        <v>2000000</v>
      </c>
      <c r="J12" s="873" t="s">
        <v>3525</v>
      </c>
      <c r="K12" s="873" t="s">
        <v>3526</v>
      </c>
      <c r="L12" s="876">
        <v>65217</v>
      </c>
      <c r="M12" s="877">
        <v>9820070</v>
      </c>
      <c r="N12" s="823">
        <f t="shared" si="0"/>
        <v>1832</v>
      </c>
      <c r="O12" s="823">
        <f t="shared" si="1"/>
        <v>2000000</v>
      </c>
      <c r="P12" s="823">
        <f t="shared" ref="P12:P22" si="2">O12*N12/365</f>
        <v>10038356.164383562</v>
      </c>
      <c r="Q12" s="823">
        <f t="shared" ref="Q12:Q22" si="3">P12-M12</f>
        <v>218286.16438356228</v>
      </c>
    </row>
    <row r="13" spans="1:17">
      <c r="A13" s="873" t="s">
        <v>3277</v>
      </c>
      <c r="B13" s="874" t="s">
        <v>3517</v>
      </c>
      <c r="C13" s="873" t="s">
        <v>3523</v>
      </c>
      <c r="D13" s="873" t="s">
        <v>3524</v>
      </c>
      <c r="E13" s="873" t="s">
        <v>3520</v>
      </c>
      <c r="F13" s="873" t="s">
        <v>3278</v>
      </c>
      <c r="G13" s="875">
        <v>2000000</v>
      </c>
      <c r="H13" s="875">
        <v>2000000</v>
      </c>
      <c r="I13" s="875">
        <v>1290320</v>
      </c>
      <c r="J13" s="873" t="s">
        <v>3527</v>
      </c>
      <c r="K13" s="873" t="s">
        <v>3528</v>
      </c>
      <c r="L13" s="876">
        <v>57503</v>
      </c>
      <c r="M13" s="877">
        <v>8384410</v>
      </c>
      <c r="N13" s="823">
        <f t="shared" si="0"/>
        <v>1774</v>
      </c>
      <c r="O13" s="823">
        <f t="shared" si="1"/>
        <v>1763440</v>
      </c>
      <c r="P13" s="823">
        <f t="shared" si="2"/>
        <v>8570801.5342465751</v>
      </c>
      <c r="Q13" s="823">
        <f t="shared" si="3"/>
        <v>186391.53424657509</v>
      </c>
    </row>
    <row r="14" spans="1:17">
      <c r="A14" s="873" t="s">
        <v>3279</v>
      </c>
      <c r="B14" s="874" t="s">
        <v>3517</v>
      </c>
      <c r="C14" s="873" t="s">
        <v>3529</v>
      </c>
      <c r="D14" s="873" t="s">
        <v>3530</v>
      </c>
      <c r="E14" s="873" t="s">
        <v>3520</v>
      </c>
      <c r="F14" s="873" t="s">
        <v>3280</v>
      </c>
      <c r="G14" s="875">
        <v>3000000</v>
      </c>
      <c r="H14" s="875">
        <v>3000000</v>
      </c>
      <c r="I14" s="875">
        <v>3000000</v>
      </c>
      <c r="J14" s="873" t="s">
        <v>3531</v>
      </c>
      <c r="K14" s="873" t="s">
        <v>3532</v>
      </c>
      <c r="L14" s="876">
        <v>97826</v>
      </c>
      <c r="M14" s="877">
        <v>12374310</v>
      </c>
      <c r="N14" s="823">
        <f t="shared" si="0"/>
        <v>1539</v>
      </c>
      <c r="O14" s="823">
        <f t="shared" si="1"/>
        <v>3000000</v>
      </c>
      <c r="P14" s="823">
        <f t="shared" si="2"/>
        <v>12649315.06849315</v>
      </c>
      <c r="Q14" s="823">
        <f t="shared" si="3"/>
        <v>275005.06849315017</v>
      </c>
    </row>
    <row r="15" spans="1:17">
      <c r="A15" s="873" t="s">
        <v>3281</v>
      </c>
      <c r="B15" s="874" t="s">
        <v>3517</v>
      </c>
      <c r="C15" s="873" t="s">
        <v>3533</v>
      </c>
      <c r="D15" s="873" t="s">
        <v>3524</v>
      </c>
      <c r="E15" s="873" t="s">
        <v>3520</v>
      </c>
      <c r="F15" s="873" t="s">
        <v>3282</v>
      </c>
      <c r="G15" s="875">
        <v>2200000</v>
      </c>
      <c r="H15" s="875">
        <v>2200000</v>
      </c>
      <c r="I15" s="875">
        <v>2200000</v>
      </c>
      <c r="J15" s="873" t="s">
        <v>3534</v>
      </c>
      <c r="K15" s="873" t="s">
        <v>3535</v>
      </c>
      <c r="L15" s="876">
        <v>71739</v>
      </c>
      <c r="M15" s="877">
        <v>9322130</v>
      </c>
      <c r="N15" s="823">
        <f t="shared" si="0"/>
        <v>1581</v>
      </c>
      <c r="O15" s="823">
        <f t="shared" si="1"/>
        <v>2200000</v>
      </c>
      <c r="P15" s="823">
        <f t="shared" si="2"/>
        <v>9529315.0684931502</v>
      </c>
      <c r="Q15" s="823">
        <f t="shared" si="3"/>
        <v>207185.06849315017</v>
      </c>
    </row>
    <row r="16" spans="1:17">
      <c r="A16" s="873" t="s">
        <v>3283</v>
      </c>
      <c r="B16" s="874" t="s">
        <v>3517</v>
      </c>
      <c r="C16" s="873" t="s">
        <v>3533</v>
      </c>
      <c r="D16" s="873" t="s">
        <v>3536</v>
      </c>
      <c r="E16" s="873" t="s">
        <v>3520</v>
      </c>
      <c r="F16" s="873" t="s">
        <v>3284</v>
      </c>
      <c r="G16" s="875">
        <v>3400000</v>
      </c>
      <c r="H16" s="875">
        <v>3400000</v>
      </c>
      <c r="I16" s="875">
        <v>3400000</v>
      </c>
      <c r="J16" s="873" t="s">
        <v>3537</v>
      </c>
      <c r="K16" s="873" t="s">
        <v>3538</v>
      </c>
      <c r="L16" s="876">
        <v>110869</v>
      </c>
      <c r="M16" s="877">
        <v>10515840</v>
      </c>
      <c r="N16" s="823">
        <f t="shared" si="0"/>
        <v>1154</v>
      </c>
      <c r="O16" s="823">
        <f t="shared" si="1"/>
        <v>3400000</v>
      </c>
      <c r="P16" s="823">
        <f t="shared" si="2"/>
        <v>10749589.04109589</v>
      </c>
      <c r="Q16" s="823">
        <f t="shared" si="3"/>
        <v>233749.0410958901</v>
      </c>
    </row>
    <row r="17" spans="1:18">
      <c r="A17" s="873" t="s">
        <v>3285</v>
      </c>
      <c r="B17" s="874" t="s">
        <v>3517</v>
      </c>
      <c r="C17" s="873" t="s">
        <v>3539</v>
      </c>
      <c r="D17" s="873" t="s">
        <v>3539</v>
      </c>
      <c r="E17" s="873" t="s">
        <v>3540</v>
      </c>
      <c r="F17" s="873" t="s">
        <v>3286</v>
      </c>
      <c r="G17" s="875">
        <v>1000000</v>
      </c>
      <c r="H17" s="875">
        <v>1000000</v>
      </c>
      <c r="I17" s="875">
        <v>1000000</v>
      </c>
      <c r="J17" s="873" t="s">
        <v>3541</v>
      </c>
      <c r="K17" s="873" t="s">
        <v>3542</v>
      </c>
      <c r="L17" s="876">
        <v>32608</v>
      </c>
      <c r="M17" s="877">
        <v>2934720</v>
      </c>
      <c r="N17" s="823">
        <f t="shared" si="0"/>
        <v>1095</v>
      </c>
      <c r="O17" s="823">
        <f t="shared" si="1"/>
        <v>1000000</v>
      </c>
      <c r="P17" s="823">
        <f t="shared" si="2"/>
        <v>3000000</v>
      </c>
      <c r="Q17" s="823">
        <f t="shared" si="3"/>
        <v>65280</v>
      </c>
    </row>
    <row r="18" spans="1:18">
      <c r="A18" s="873" t="s">
        <v>3287</v>
      </c>
      <c r="B18" s="874" t="s">
        <v>3517</v>
      </c>
      <c r="C18" s="873" t="s">
        <v>3518</v>
      </c>
      <c r="D18" s="873" t="s">
        <v>3519</v>
      </c>
      <c r="E18" s="873" t="s">
        <v>3520</v>
      </c>
      <c r="F18" s="873" t="s">
        <v>3288</v>
      </c>
      <c r="G18" s="875">
        <v>2000000</v>
      </c>
      <c r="H18" s="875">
        <v>2000000</v>
      </c>
      <c r="I18" s="875">
        <v>2000000</v>
      </c>
      <c r="J18" s="873" t="s">
        <v>3543</v>
      </c>
      <c r="K18" s="873" t="s">
        <v>3544</v>
      </c>
      <c r="L18" s="876">
        <v>65217</v>
      </c>
      <c r="M18" s="877">
        <v>4566970</v>
      </c>
      <c r="N18" s="823">
        <f t="shared" si="0"/>
        <v>852</v>
      </c>
      <c r="O18" s="823">
        <f t="shared" si="1"/>
        <v>2000000</v>
      </c>
      <c r="P18" s="823">
        <f t="shared" si="2"/>
        <v>4668493.1506849313</v>
      </c>
      <c r="Q18" s="823">
        <f t="shared" si="3"/>
        <v>101523.15068493132</v>
      </c>
    </row>
    <row r="19" spans="1:18">
      <c r="A19" s="873" t="s">
        <v>3289</v>
      </c>
      <c r="B19" s="874" t="s">
        <v>3517</v>
      </c>
      <c r="C19" s="873" t="s">
        <v>3533</v>
      </c>
      <c r="D19" s="873" t="s">
        <v>3519</v>
      </c>
      <c r="E19" s="873" t="s">
        <v>3520</v>
      </c>
      <c r="F19" s="873" t="s">
        <v>3290</v>
      </c>
      <c r="G19" s="875">
        <v>2000000</v>
      </c>
      <c r="H19" s="875">
        <v>2000000</v>
      </c>
      <c r="I19" s="875">
        <v>2000000</v>
      </c>
      <c r="J19" s="873" t="s">
        <v>3545</v>
      </c>
      <c r="K19" s="873" t="s">
        <v>3546</v>
      </c>
      <c r="L19" s="876">
        <v>65217</v>
      </c>
      <c r="M19" s="877">
        <v>3934460</v>
      </c>
      <c r="N19" s="823">
        <f t="shared" si="0"/>
        <v>734</v>
      </c>
      <c r="O19" s="823">
        <f t="shared" si="1"/>
        <v>2000000</v>
      </c>
      <c r="P19" s="823">
        <f t="shared" si="2"/>
        <v>4021917.8082191781</v>
      </c>
      <c r="Q19" s="823">
        <f t="shared" si="3"/>
        <v>87457.808219178114</v>
      </c>
    </row>
    <row r="20" spans="1:18">
      <c r="A20" s="873" t="s">
        <v>3291</v>
      </c>
      <c r="B20" s="874" t="s">
        <v>3517</v>
      </c>
      <c r="C20" s="873" t="s">
        <v>3529</v>
      </c>
      <c r="D20" s="873" t="s">
        <v>3547</v>
      </c>
      <c r="E20" s="873" t="s">
        <v>3520</v>
      </c>
      <c r="F20" s="873" t="s">
        <v>3292</v>
      </c>
      <c r="G20" s="875">
        <v>2550000</v>
      </c>
      <c r="H20" s="875">
        <v>2550000</v>
      </c>
      <c r="I20" s="875">
        <v>2550000</v>
      </c>
      <c r="J20" s="873" t="s">
        <v>3548</v>
      </c>
      <c r="K20" s="873" t="s">
        <v>3549</v>
      </c>
      <c r="L20" s="876">
        <v>83152</v>
      </c>
      <c r="M20" s="877">
        <v>6246650</v>
      </c>
      <c r="N20" s="823">
        <f t="shared" si="0"/>
        <v>914</v>
      </c>
      <c r="O20" s="823">
        <f t="shared" si="1"/>
        <v>2550000</v>
      </c>
      <c r="P20" s="823">
        <f t="shared" si="2"/>
        <v>6385479.4520547949</v>
      </c>
      <c r="Q20" s="823">
        <f t="shared" si="3"/>
        <v>138829.45205479488</v>
      </c>
    </row>
    <row r="21" spans="1:18">
      <c r="A21" s="873" t="s">
        <v>3293</v>
      </c>
      <c r="B21" s="874" t="s">
        <v>3517</v>
      </c>
      <c r="C21" s="873" t="s">
        <v>3533</v>
      </c>
      <c r="D21" s="873" t="s">
        <v>3519</v>
      </c>
      <c r="E21" s="873" t="s">
        <v>3520</v>
      </c>
      <c r="F21" s="873" t="s">
        <v>3294</v>
      </c>
      <c r="G21" s="875">
        <v>1700000</v>
      </c>
      <c r="H21" s="875">
        <v>1700000</v>
      </c>
      <c r="I21" s="875">
        <v>1700000</v>
      </c>
      <c r="J21" s="873" t="s">
        <v>3550</v>
      </c>
      <c r="K21" s="873" t="s">
        <v>3551</v>
      </c>
      <c r="L21" s="876">
        <v>55434</v>
      </c>
      <c r="M21" s="877">
        <v>3116450</v>
      </c>
      <c r="N21" s="823">
        <f t="shared" si="0"/>
        <v>684</v>
      </c>
      <c r="O21" s="823">
        <f t="shared" si="1"/>
        <v>1700000</v>
      </c>
      <c r="P21" s="823">
        <f t="shared" si="2"/>
        <v>3185753.4246575343</v>
      </c>
      <c r="Q21" s="823">
        <f t="shared" si="3"/>
        <v>69303.424657534342</v>
      </c>
    </row>
    <row r="22" spans="1:18" ht="17.25" thickBot="1">
      <c r="A22" s="878" t="s">
        <v>3295</v>
      </c>
      <c r="B22" s="879" t="s">
        <v>3517</v>
      </c>
      <c r="C22" s="878" t="s">
        <v>3518</v>
      </c>
      <c r="D22" s="878" t="s">
        <v>3536</v>
      </c>
      <c r="E22" s="878" t="s">
        <v>3520</v>
      </c>
      <c r="F22" s="878" t="s">
        <v>3296</v>
      </c>
      <c r="G22" s="880">
        <v>2850000</v>
      </c>
      <c r="H22" s="880">
        <v>2850000</v>
      </c>
      <c r="I22" s="880">
        <v>2850000</v>
      </c>
      <c r="J22" s="878" t="s">
        <v>3552</v>
      </c>
      <c r="K22" s="878" t="s">
        <v>3553</v>
      </c>
      <c r="L22" s="881">
        <v>92934</v>
      </c>
      <c r="M22" s="882">
        <v>4239310</v>
      </c>
      <c r="N22" s="823">
        <f t="shared" si="0"/>
        <v>555</v>
      </c>
      <c r="O22" s="823">
        <f t="shared" si="1"/>
        <v>2850000</v>
      </c>
      <c r="P22" s="823">
        <f t="shared" si="2"/>
        <v>4333561.6438356163</v>
      </c>
      <c r="Q22" s="823">
        <f t="shared" si="3"/>
        <v>94251.643835616298</v>
      </c>
    </row>
    <row r="23" spans="1:18" ht="17.25" thickBot="1">
      <c r="A23" s="1295" t="s">
        <v>3554</v>
      </c>
      <c r="B23" s="1296"/>
      <c r="C23" s="1296"/>
      <c r="D23" s="1296"/>
      <c r="E23" s="1296"/>
      <c r="F23" s="1297"/>
      <c r="G23" s="884">
        <v>26600000</v>
      </c>
      <c r="H23" s="884">
        <v>26600000</v>
      </c>
      <c r="I23" s="884">
        <v>25890320</v>
      </c>
      <c r="J23" s="883"/>
      <c r="K23" s="883"/>
      <c r="L23" s="885"/>
      <c r="M23" s="886">
        <v>84967680</v>
      </c>
      <c r="N23" s="889"/>
      <c r="O23" s="889"/>
      <c r="P23" s="844">
        <f>SUM(P11:P22)</f>
        <v>86856417.972602755</v>
      </c>
      <c r="Q23" s="843">
        <f>SUM(Q11:Q22)</f>
        <v>1888737.9726027381</v>
      </c>
    </row>
    <row r="24" spans="1:18">
      <c r="M24" s="823">
        <f>M23-EE!J7</f>
        <v>0</v>
      </c>
      <c r="Q24" s="964">
        <f>Q23/M23</f>
        <v>2.2228898948432368E-2</v>
      </c>
      <c r="R24" s="847">
        <f>Q23/P23</f>
        <v>2.1745519982167644E-2</v>
      </c>
    </row>
    <row r="26" spans="1:18">
      <c r="A26" t="s">
        <v>3300</v>
      </c>
    </row>
    <row r="27" spans="1:18">
      <c r="A27" t="s">
        <v>3301</v>
      </c>
    </row>
    <row r="28" spans="1:18">
      <c r="A28" t="s">
        <v>3302</v>
      </c>
    </row>
  </sheetData>
  <mergeCells count="17">
    <mergeCell ref="A23:F23"/>
    <mergeCell ref="H1:I1"/>
    <mergeCell ref="H2:I3"/>
    <mergeCell ref="J2:J3"/>
    <mergeCell ref="F1:G1"/>
    <mergeCell ref="F2:G3"/>
    <mergeCell ref="K9:K10"/>
    <mergeCell ref="L9:L10"/>
    <mergeCell ref="M9:M10"/>
    <mergeCell ref="A9:A10"/>
    <mergeCell ref="B9:B10"/>
    <mergeCell ref="C9:C10"/>
    <mergeCell ref="D9:D10"/>
    <mergeCell ref="E9:E10"/>
    <mergeCell ref="F9:F10"/>
    <mergeCell ref="G9:I9"/>
    <mergeCell ref="J9:J10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F0"/>
  </sheetPr>
  <dimension ref="A1:L17"/>
  <sheetViews>
    <sheetView workbookViewId="0">
      <selection activeCell="G8" sqref="G8"/>
    </sheetView>
  </sheetViews>
  <sheetFormatPr defaultRowHeight="16.5"/>
  <cols>
    <col min="1" max="2" width="9" style="966"/>
    <col min="3" max="5" width="10.875" style="966" bestFit="1" customWidth="1"/>
    <col min="6" max="6" width="9.25" style="966" bestFit="1" customWidth="1"/>
    <col min="7" max="7" width="16.375" style="966" bestFit="1" customWidth="1"/>
    <col min="8" max="9" width="12.875" style="966" bestFit="1" customWidth="1"/>
    <col min="10" max="10" width="10.875" style="966" bestFit="1" customWidth="1"/>
    <col min="11" max="11" width="12.875" style="966" bestFit="1" customWidth="1"/>
    <col min="12" max="12" width="9.375" style="966" bestFit="1" customWidth="1"/>
    <col min="13" max="13" width="12.875" style="966" bestFit="1" customWidth="1"/>
    <col min="14" max="15" width="10.875" style="966" bestFit="1" customWidth="1"/>
    <col min="16" max="16" width="12.875" style="966" bestFit="1" customWidth="1"/>
    <col min="17" max="16384" width="9" style="966"/>
  </cols>
  <sheetData>
    <row r="1" spans="1:12">
      <c r="A1" s="967" t="str">
        <f>기본사항!$C$2</f>
        <v>(재)한국여성재단</v>
      </c>
      <c r="B1" s="968"/>
      <c r="C1" s="968"/>
      <c r="D1" s="968"/>
      <c r="E1" s="968"/>
      <c r="F1" s="1298" t="s">
        <v>4823</v>
      </c>
      <c r="G1" s="1299"/>
      <c r="H1" s="1300" t="s">
        <v>4824</v>
      </c>
      <c r="I1" s="1300"/>
      <c r="J1" s="969" t="s">
        <v>4825</v>
      </c>
    </row>
    <row r="2" spans="1:12">
      <c r="A2" s="967" t="s">
        <v>4772</v>
      </c>
      <c r="B2" s="968"/>
      <c r="C2" s="968"/>
      <c r="D2" s="968"/>
      <c r="E2" s="968"/>
      <c r="F2" s="1301" t="s">
        <v>4826</v>
      </c>
      <c r="G2" s="1302"/>
      <c r="H2" s="1305">
        <f>기본사항!$C$14</f>
        <v>40563</v>
      </c>
      <c r="I2" s="1305"/>
      <c r="J2" s="1306" t="str">
        <f>기본사항!$C$17</f>
        <v>Kbj</v>
      </c>
    </row>
    <row r="3" spans="1:12">
      <c r="A3" s="970" t="str">
        <f>기본사항!$C$9</f>
        <v>A : 12-31-2011</v>
      </c>
      <c r="B3" s="968"/>
      <c r="C3" s="968"/>
      <c r="D3" s="968"/>
      <c r="E3" s="968"/>
      <c r="F3" s="1303"/>
      <c r="G3" s="1304"/>
      <c r="H3" s="1305"/>
      <c r="I3" s="1305"/>
      <c r="J3" s="1307"/>
    </row>
    <row r="6" spans="1:12">
      <c r="A6" s="966" t="s">
        <v>3297</v>
      </c>
    </row>
    <row r="7" spans="1:12">
      <c r="A7" s="966" t="s">
        <v>4827</v>
      </c>
    </row>
    <row r="8" spans="1:12">
      <c r="A8" s="966" t="s">
        <v>4828</v>
      </c>
    </row>
    <row r="9" spans="1:12" ht="17.25" thickBot="1"/>
    <row r="10" spans="1:12">
      <c r="A10" s="975" t="s">
        <v>4829</v>
      </c>
      <c r="B10" s="976" t="s">
        <v>3272</v>
      </c>
      <c r="C10" s="976" t="s">
        <v>4773</v>
      </c>
      <c r="D10" s="976" t="s">
        <v>4774</v>
      </c>
      <c r="E10" s="976" t="s">
        <v>4775</v>
      </c>
      <c r="F10" s="976" t="s">
        <v>4830</v>
      </c>
      <c r="G10" s="977" t="s">
        <v>4776</v>
      </c>
      <c r="H10" s="977" t="s">
        <v>4777</v>
      </c>
      <c r="I10" s="977" t="s">
        <v>4778</v>
      </c>
      <c r="J10" s="977" t="s">
        <v>4779</v>
      </c>
      <c r="K10" s="977" t="s">
        <v>4780</v>
      </c>
      <c r="L10" s="993" t="s">
        <v>4831</v>
      </c>
    </row>
    <row r="11" spans="1:12">
      <c r="A11" s="978" t="s">
        <v>4832</v>
      </c>
      <c r="B11" s="971" t="s">
        <v>4833</v>
      </c>
      <c r="C11" s="972">
        <v>40609</v>
      </c>
      <c r="D11" s="972">
        <v>37361</v>
      </c>
      <c r="E11" s="972">
        <v>40602</v>
      </c>
      <c r="F11" s="973">
        <v>107</v>
      </c>
      <c r="G11" s="974">
        <v>34936320</v>
      </c>
      <c r="H11" s="974">
        <v>1047699</v>
      </c>
      <c r="I11" s="974">
        <v>104760</v>
      </c>
      <c r="J11" s="974">
        <f>H11+I11</f>
        <v>1152459</v>
      </c>
      <c r="K11" s="974">
        <f>G11-J11</f>
        <v>33783861</v>
      </c>
      <c r="L11" s="979" t="s">
        <v>4834</v>
      </c>
    </row>
    <row r="12" spans="1:12">
      <c r="A12" s="978" t="s">
        <v>4832</v>
      </c>
      <c r="B12" s="971" t="s">
        <v>4835</v>
      </c>
      <c r="C12" s="972">
        <v>40724</v>
      </c>
      <c r="D12" s="972">
        <v>40345</v>
      </c>
      <c r="E12" s="972">
        <v>40724</v>
      </c>
      <c r="F12" s="973">
        <v>13</v>
      </c>
      <c r="G12" s="974">
        <v>2471140</v>
      </c>
      <c r="H12" s="974">
        <v>52960</v>
      </c>
      <c r="I12" s="974">
        <v>5290</v>
      </c>
      <c r="J12" s="974">
        <f t="shared" ref="J12:J13" si="0">H12+I12</f>
        <v>58250</v>
      </c>
      <c r="K12" s="974">
        <f t="shared" ref="K12:K13" si="1">G12-J12</f>
        <v>2412890</v>
      </c>
      <c r="L12" s="979" t="s">
        <v>4834</v>
      </c>
    </row>
    <row r="13" spans="1:12" ht="17.25" thickBot="1">
      <c r="A13" s="980" t="s">
        <v>4832</v>
      </c>
      <c r="B13" s="981" t="s">
        <v>4836</v>
      </c>
      <c r="C13" s="982">
        <v>40872</v>
      </c>
      <c r="D13" s="982">
        <v>40497</v>
      </c>
      <c r="E13" s="982">
        <v>40861</v>
      </c>
      <c r="F13" s="983">
        <v>12</v>
      </c>
      <c r="G13" s="984">
        <v>2064600</v>
      </c>
      <c r="H13" s="984">
        <v>51200</v>
      </c>
      <c r="I13" s="984">
        <v>5120</v>
      </c>
      <c r="J13" s="984">
        <f t="shared" si="0"/>
        <v>56320</v>
      </c>
      <c r="K13" s="984">
        <f t="shared" si="1"/>
        <v>2008280</v>
      </c>
      <c r="L13" s="985" t="s">
        <v>4834</v>
      </c>
    </row>
    <row r="16" spans="1:12">
      <c r="A16" s="966" t="s">
        <v>3300</v>
      </c>
    </row>
    <row r="17" spans="1:1">
      <c r="A17" s="966" t="s">
        <v>4781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0000"/>
  </sheetPr>
  <dimension ref="A1:P82"/>
  <sheetViews>
    <sheetView zoomScaleSheetLayoutView="85" workbookViewId="0">
      <selection activeCell="G8" sqref="G8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TableofContents!$D$29</f>
        <v>판매비와 일반관리비</v>
      </c>
      <c r="B2" s="449"/>
      <c r="C2" s="449"/>
      <c r="D2" s="449"/>
      <c r="E2" s="449"/>
      <c r="F2" s="449"/>
      <c r="G2" s="450"/>
      <c r="H2" s="1255" t="str">
        <f>"DIR - "&amp;TableofContents!$B$29</f>
        <v>DIR - R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2244</v>
      </c>
      <c r="N16" s="247" t="s">
        <v>2175</v>
      </c>
    </row>
    <row r="17" spans="1:14" s="225" customFormat="1" ht="15.75" customHeight="1">
      <c r="A17" s="224"/>
      <c r="B17" s="224"/>
      <c r="C17" s="224" t="s">
        <v>2190</v>
      </c>
      <c r="D17" s="224"/>
      <c r="N17" s="247"/>
    </row>
    <row r="18" spans="1:14" s="225" customFormat="1" ht="15.75" customHeight="1">
      <c r="A18" s="224"/>
      <c r="B18" s="224"/>
      <c r="C18" s="224" t="s">
        <v>2191</v>
      </c>
      <c r="D18" s="224"/>
      <c r="N18" s="247"/>
    </row>
    <row r="19" spans="1:14" s="225" customFormat="1" ht="15.75" customHeight="1">
      <c r="A19" s="224"/>
      <c r="B19" s="224"/>
      <c r="C19" s="224"/>
      <c r="D19" s="224"/>
      <c r="N19" s="247"/>
    </row>
    <row r="20" spans="1:14" s="225" customFormat="1" ht="15.75" customHeight="1">
      <c r="A20" s="224"/>
      <c r="B20" s="224" t="s">
        <v>1069</v>
      </c>
      <c r="C20" s="224" t="s">
        <v>2245</v>
      </c>
      <c r="N20" s="247" t="s">
        <v>2177</v>
      </c>
    </row>
    <row r="21" spans="1:14" s="225" customFormat="1" ht="15.75" customHeight="1">
      <c r="A21" s="224"/>
      <c r="B21" s="224"/>
      <c r="C21" s="224" t="s">
        <v>2242</v>
      </c>
      <c r="N21" s="247"/>
    </row>
    <row r="22" spans="1:14" s="225" customFormat="1" ht="15.75" customHeight="1">
      <c r="C22" s="224" t="s">
        <v>2246</v>
      </c>
      <c r="D22" s="471"/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C23" s="224" t="s">
        <v>2247</v>
      </c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B24" s="224"/>
      <c r="C24" s="472" t="s">
        <v>2248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C25" s="224" t="s">
        <v>2249</v>
      </c>
      <c r="D25" s="492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D26" s="492"/>
      <c r="E26" s="226"/>
      <c r="F26" s="226"/>
      <c r="G26" s="226"/>
      <c r="H26" s="226"/>
      <c r="I26" s="226"/>
      <c r="J26" s="226"/>
      <c r="K26" s="226"/>
      <c r="L26" s="226"/>
      <c r="M26" s="226"/>
      <c r="N26" s="493"/>
    </row>
    <row r="27" spans="1:14" s="225" customFormat="1" ht="15.75" customHeight="1">
      <c r="B27" s="224" t="s">
        <v>2044</v>
      </c>
      <c r="C27" s="224" t="s">
        <v>2243</v>
      </c>
      <c r="D27" s="471"/>
      <c r="E27" s="226"/>
      <c r="F27" s="226"/>
      <c r="G27" s="226"/>
      <c r="H27" s="226"/>
      <c r="I27" s="226"/>
      <c r="J27" s="226"/>
      <c r="K27" s="226"/>
      <c r="L27" s="226"/>
      <c r="M27" s="226"/>
      <c r="N27" s="493" t="s">
        <v>1313</v>
      </c>
    </row>
    <row r="28" spans="1:14" s="225" customFormat="1" ht="15.75" customHeight="1">
      <c r="A28" s="224"/>
      <c r="B28" s="224"/>
      <c r="C28" s="472" t="s">
        <v>2250</v>
      </c>
      <c r="D28" s="224"/>
      <c r="N28" s="247"/>
    </row>
    <row r="29" spans="1:14" s="225" customFormat="1" ht="15.75" customHeight="1">
      <c r="A29" s="224"/>
      <c r="B29" s="224"/>
      <c r="C29" s="472" t="s">
        <v>2251</v>
      </c>
      <c r="D29" s="224"/>
      <c r="N29" s="247"/>
    </row>
    <row r="30" spans="1:14" s="225" customFormat="1" ht="15.75" customHeight="1">
      <c r="A30" s="224"/>
      <c r="B30" s="224"/>
      <c r="C30" s="472" t="s">
        <v>2252</v>
      </c>
      <c r="D30" s="224"/>
      <c r="N30" s="247"/>
    </row>
    <row r="31" spans="1:14" s="225" customFormat="1" ht="15.75" customHeight="1">
      <c r="A31" s="224"/>
      <c r="B31" s="224"/>
      <c r="C31" s="472" t="s">
        <v>2253</v>
      </c>
      <c r="D31" s="472"/>
      <c r="N31" s="247"/>
    </row>
    <row r="32" spans="1:14" s="225" customFormat="1" ht="15.75" customHeight="1">
      <c r="A32" s="224"/>
      <c r="B32" s="224"/>
      <c r="C32" s="472" t="s">
        <v>2254</v>
      </c>
      <c r="D32" s="224"/>
      <c r="N32" s="247"/>
    </row>
    <row r="33" spans="1:14" s="225" customFormat="1" ht="15.75" customHeight="1">
      <c r="A33" s="224"/>
      <c r="B33" s="224"/>
      <c r="C33" s="224"/>
      <c r="D33" s="224"/>
      <c r="N33" s="247"/>
    </row>
    <row r="34" spans="1:14" s="225" customFormat="1" ht="15.75" customHeight="1">
      <c r="A34" s="224"/>
      <c r="B34" s="224" t="s">
        <v>1076</v>
      </c>
      <c r="C34" s="224" t="s">
        <v>2262</v>
      </c>
      <c r="D34" s="472"/>
      <c r="N34" s="247" t="s">
        <v>2002</v>
      </c>
    </row>
    <row r="35" spans="1:14" s="225" customFormat="1" ht="15.75" customHeight="1">
      <c r="A35" s="224"/>
      <c r="B35" s="224"/>
      <c r="C35" s="224"/>
      <c r="D35" s="472"/>
      <c r="N35" s="247"/>
    </row>
    <row r="36" spans="1:14" s="225" customFormat="1" ht="15.75" customHeight="1">
      <c r="A36" s="224"/>
      <c r="B36" s="224" t="s">
        <v>1360</v>
      </c>
      <c r="C36" s="224" t="s">
        <v>2237</v>
      </c>
      <c r="D36" s="472"/>
      <c r="N36" s="247" t="s">
        <v>2002</v>
      </c>
    </row>
    <row r="37" spans="1:14" s="225" customFormat="1" ht="15.75" customHeight="1">
      <c r="A37" s="224"/>
      <c r="B37" s="224"/>
      <c r="C37" s="224"/>
      <c r="D37" s="472"/>
      <c r="N37" s="247"/>
    </row>
    <row r="38" spans="1:14" s="225" customFormat="1" ht="15.75" customHeight="1">
      <c r="A38" s="224"/>
      <c r="B38" s="224" t="s">
        <v>1371</v>
      </c>
      <c r="C38" s="224" t="s">
        <v>2258</v>
      </c>
      <c r="D38" s="472"/>
      <c r="N38" s="247" t="s">
        <v>1311</v>
      </c>
    </row>
    <row r="39" spans="1:14" s="225" customFormat="1" ht="15.75" customHeight="1">
      <c r="A39" s="224"/>
      <c r="B39" s="224"/>
      <c r="C39" s="224" t="s">
        <v>2259</v>
      </c>
      <c r="D39" s="472"/>
      <c r="N39" s="247"/>
    </row>
    <row r="40" spans="1:14" s="225" customFormat="1" ht="15.75" customHeight="1">
      <c r="A40" s="224"/>
      <c r="B40" s="224"/>
      <c r="C40" s="472" t="s">
        <v>2260</v>
      </c>
      <c r="D40" s="472"/>
      <c r="N40" s="247"/>
    </row>
    <row r="41" spans="1:14" s="225" customFormat="1" ht="15.75" customHeight="1">
      <c r="A41" s="224"/>
      <c r="B41" s="224"/>
      <c r="C41" s="472" t="s">
        <v>2256</v>
      </c>
      <c r="D41" s="472"/>
      <c r="N41" s="247"/>
    </row>
    <row r="42" spans="1:14" s="225" customFormat="1" ht="15.75" customHeight="1">
      <c r="A42" s="224"/>
      <c r="B42" s="224"/>
      <c r="C42" s="472" t="s">
        <v>2261</v>
      </c>
      <c r="D42" s="472"/>
      <c r="N42" s="247"/>
    </row>
    <row r="43" spans="1:14" s="225" customFormat="1" ht="15.75" customHeight="1">
      <c r="A43" s="224"/>
      <c r="B43" s="224"/>
      <c r="C43" s="224"/>
      <c r="D43" s="224"/>
      <c r="N43" s="247"/>
    </row>
    <row r="44" spans="1:14" s="225" customFormat="1" ht="15.75" customHeight="1">
      <c r="A44" s="224"/>
      <c r="B44" s="224" t="s">
        <v>1375</v>
      </c>
      <c r="C44" s="224" t="s">
        <v>1386</v>
      </c>
      <c r="D44" s="224"/>
      <c r="N44" s="247" t="s">
        <v>1311</v>
      </c>
    </row>
    <row r="45" spans="1:14" s="225" customFormat="1" ht="15.75" customHeight="1">
      <c r="A45" s="224"/>
      <c r="B45" s="224"/>
      <c r="C45" s="472" t="s">
        <v>2255</v>
      </c>
      <c r="D45" s="472"/>
      <c r="N45" s="247"/>
    </row>
    <row r="46" spans="1:14" s="225" customFormat="1" ht="15.75" customHeight="1">
      <c r="A46" s="224"/>
      <c r="B46" s="224"/>
      <c r="C46" s="472" t="s">
        <v>2256</v>
      </c>
      <c r="D46" s="472"/>
      <c r="N46" s="247"/>
    </row>
    <row r="47" spans="1:14" s="225" customFormat="1" ht="15.75" customHeight="1">
      <c r="A47" s="224"/>
      <c r="B47" s="224"/>
      <c r="C47" s="472" t="s">
        <v>2257</v>
      </c>
      <c r="D47" s="472"/>
      <c r="N47" s="247"/>
    </row>
    <row r="48" spans="1:14" s="225" customFormat="1" ht="15.75" customHeight="1">
      <c r="A48" s="224"/>
      <c r="B48" s="224"/>
      <c r="C48" s="224"/>
      <c r="D48" s="472"/>
      <c r="N48" s="247"/>
    </row>
    <row r="49" spans="1:14" s="225" customFormat="1" ht="15.75" customHeight="1">
      <c r="A49" s="224"/>
      <c r="B49" s="224" t="s">
        <v>1376</v>
      </c>
      <c r="C49" s="224" t="s">
        <v>1391</v>
      </c>
      <c r="D49" s="472"/>
      <c r="N49" s="247"/>
    </row>
    <row r="50" spans="1:14" s="225" customFormat="1" ht="15.75" customHeight="1">
      <c r="D50" s="472"/>
      <c r="N50" s="247"/>
    </row>
    <row r="51" spans="1:14" s="225" customFormat="1" ht="15.75" customHeight="1">
      <c r="C51" s="224"/>
      <c r="D51" s="472"/>
    </row>
    <row r="52" spans="1:14" s="225" customFormat="1" ht="15.75" customHeight="1">
      <c r="D52" s="472"/>
    </row>
    <row r="53" spans="1:14" s="229" customFormat="1" ht="15.75" customHeight="1">
      <c r="A53" s="253"/>
      <c r="B53" s="253"/>
      <c r="C53" s="224"/>
      <c r="D53" s="224"/>
      <c r="E53" s="225"/>
      <c r="F53" s="225"/>
      <c r="G53" s="225"/>
      <c r="H53" s="225"/>
      <c r="I53" s="225"/>
      <c r="J53" s="225"/>
      <c r="K53" s="225"/>
      <c r="L53" s="225"/>
    </row>
    <row r="54" spans="1:14" s="225" customFormat="1" ht="15.75" customHeight="1">
      <c r="A54" s="264"/>
      <c r="B54" s="224"/>
      <c r="C54" s="224"/>
      <c r="D54" s="224"/>
    </row>
    <row r="55" spans="1:14" s="225" customFormat="1" ht="15.75" customHeight="1">
      <c r="A55" s="264"/>
      <c r="B55" s="264"/>
    </row>
    <row r="56" spans="1:14" s="225" customFormat="1" ht="15.75" customHeight="1">
      <c r="A56" s="264"/>
      <c r="B56" s="264"/>
      <c r="C56" s="224"/>
      <c r="D56" s="224"/>
    </row>
    <row r="57" spans="1:14" s="225" customFormat="1" ht="15.75" customHeight="1">
      <c r="A57" s="264"/>
      <c r="B57" s="264"/>
      <c r="D57" s="224"/>
    </row>
    <row r="58" spans="1:14" s="225" customFormat="1" ht="15.75" customHeight="1">
      <c r="A58" s="264"/>
      <c r="B58" s="264"/>
    </row>
    <row r="59" spans="1:14" s="225" customFormat="1" ht="15.75" customHeight="1">
      <c r="A59" s="264"/>
      <c r="B59" s="264"/>
      <c r="C59" s="224"/>
      <c r="D59" s="224"/>
    </row>
    <row r="60" spans="1:14" s="225" customFormat="1" ht="15.75" customHeight="1">
      <c r="A60" s="264"/>
      <c r="B60" s="264"/>
    </row>
    <row r="61" spans="1:14" s="225" customFormat="1" ht="15.75" customHeight="1">
      <c r="A61" s="264"/>
      <c r="B61" s="264"/>
      <c r="C61" s="224"/>
      <c r="D61" s="224"/>
    </row>
    <row r="62" spans="1:14" s="225" customFormat="1" ht="15.75" customHeight="1">
      <c r="A62" s="264"/>
      <c r="B62" s="264"/>
    </row>
    <row r="63" spans="1:14" s="225" customFormat="1" ht="15.75" customHeight="1">
      <c r="A63" s="264"/>
      <c r="B63" s="253"/>
      <c r="N63" s="247"/>
    </row>
    <row r="64" spans="1:14" s="225" customFormat="1" ht="15.75" customHeight="1">
      <c r="A64" s="264"/>
      <c r="B64" s="264"/>
    </row>
    <row r="65" spans="1:14" s="225" customFormat="1" ht="15.75" customHeight="1">
      <c r="A65" s="264"/>
      <c r="B65" s="253"/>
      <c r="C65" s="224"/>
      <c r="N65" s="247"/>
    </row>
    <row r="66" spans="1:14" s="225" customFormat="1" ht="15.75" customHeight="1">
      <c r="A66" s="264"/>
      <c r="B66" s="264"/>
    </row>
    <row r="67" spans="1:14" s="225" customFormat="1" ht="15.75" customHeight="1">
      <c r="A67" s="264"/>
      <c r="B67" s="253"/>
      <c r="C67" s="224"/>
      <c r="N67" s="247"/>
    </row>
    <row r="68" spans="1:14" s="225" customFormat="1" ht="15.75" customHeight="1">
      <c r="A68" s="264"/>
      <c r="B68" s="264"/>
      <c r="D68" s="224"/>
    </row>
    <row r="69" spans="1:14" s="225" customFormat="1" ht="15.75" customHeight="1">
      <c r="A69" s="264"/>
      <c r="B69" s="264"/>
      <c r="D69" s="224"/>
    </row>
    <row r="70" spans="1:14" s="225" customFormat="1" ht="15.75" customHeight="1">
      <c r="A70" s="264"/>
      <c r="B70" s="264"/>
    </row>
    <row r="71" spans="1:14" s="225" customFormat="1" ht="15.75" customHeight="1">
      <c r="A71" s="264"/>
      <c r="B71" s="253"/>
      <c r="C71" s="224"/>
      <c r="N71" s="247"/>
    </row>
    <row r="72" spans="1:14" s="225" customFormat="1" ht="15.75" customHeight="1">
      <c r="A72" s="264"/>
      <c r="B72" s="264"/>
    </row>
    <row r="73" spans="1:14" s="225" customFormat="1" ht="15.75" customHeight="1">
      <c r="B73" s="224"/>
      <c r="C73" s="224"/>
      <c r="N73" s="247"/>
    </row>
    <row r="74" spans="1:14" s="225" customFormat="1" ht="15.75" customHeight="1"/>
    <row r="75" spans="1:14" s="225" customFormat="1" ht="15.75" customHeight="1">
      <c r="B75" s="224"/>
      <c r="C75" s="224"/>
      <c r="N75" s="247"/>
    </row>
    <row r="76" spans="1:14" s="225" customFormat="1" ht="15.75" customHeight="1"/>
    <row r="77" spans="1:14" s="225" customFormat="1" ht="15.75" customHeight="1">
      <c r="B77" s="224"/>
      <c r="C77" s="227"/>
      <c r="N77" s="252"/>
    </row>
    <row r="78" spans="1:14" s="225" customFormat="1" ht="15.75" customHeight="1">
      <c r="D78" s="223"/>
    </row>
    <row r="79" spans="1:14" s="225" customFormat="1" ht="15.75" customHeight="1">
      <c r="D79" s="223"/>
    </row>
    <row r="80" spans="1:14" s="225" customFormat="1" ht="15.75" customHeight="1">
      <c r="D80" s="223"/>
    </row>
    <row r="81" spans="2:3" s="225" customFormat="1" ht="15.75" customHeight="1"/>
    <row r="82" spans="2:3" s="225" customFormat="1" ht="15.75" customHeight="1">
      <c r="B82" s="224"/>
      <c r="C82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38">
    <tabColor rgb="FF00B050"/>
  </sheetPr>
  <dimension ref="A1:K180"/>
  <sheetViews>
    <sheetView topLeftCell="A7" zoomScaleSheetLayoutView="85" workbookViewId="0">
      <selection activeCell="G8" sqref="G8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36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0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374" t="s">
        <v>1</v>
      </c>
    </row>
    <row r="2" spans="1:10" ht="15.75" customHeight="1">
      <c r="A2" s="375" t="str">
        <f>TableofContents!D29</f>
        <v>판매비와 일반관리비</v>
      </c>
      <c r="B2" s="446"/>
      <c r="C2" s="446"/>
      <c r="D2" s="446"/>
      <c r="E2" s="446"/>
      <c r="F2" s="1274" t="str">
        <f>TableofContents!$B$29</f>
        <v>R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0" ht="15.75" customHeight="1">
      <c r="D6" s="221">
        <f>기본사항!$C$11</f>
        <v>40543</v>
      </c>
      <c r="F6" s="447" t="s">
        <v>711</v>
      </c>
      <c r="H6" s="221">
        <f>기본사항!$C$12</f>
        <v>40908</v>
      </c>
      <c r="J6" s="452" t="s">
        <v>136</v>
      </c>
    </row>
    <row r="7" spans="1:10" s="233" customFormat="1" ht="15.75" customHeight="1">
      <c r="A7" s="230"/>
      <c r="B7" s="231" t="str">
        <f>FS_worksheet!C162</f>
        <v xml:space="preserve">      모금행사비</v>
      </c>
      <c r="C7" s="230"/>
      <c r="D7" s="230">
        <f>VLOOKUP($B7,FS_worksheet!$C$131:$H$221,3,FALSE)</f>
        <v>55865447</v>
      </c>
      <c r="E7" s="230"/>
      <c r="F7" s="231">
        <f t="shared" ref="F7:F42" si="0">H7-D7</f>
        <v>-38668427</v>
      </c>
      <c r="G7" s="232"/>
      <c r="H7" s="230">
        <f>VLOOKUP($B7,FS_worksheet!$C$131:$H$221,5,FALSE)</f>
        <v>17197020</v>
      </c>
      <c r="J7" s="919">
        <f>(H7-D7)/D7</f>
        <v>-0.69217072585134776</v>
      </c>
    </row>
    <row r="8" spans="1:10" s="233" customFormat="1" ht="15.75" customHeight="1">
      <c r="B8" s="234" t="str">
        <f>FS_worksheet!C163</f>
        <v xml:space="preserve">      일반모금비</v>
      </c>
      <c r="D8" s="233">
        <f>VLOOKUP($B8,FS_worksheet!$C$131:$H$221,3,FALSE)</f>
        <v>3137670</v>
      </c>
      <c r="F8" s="234">
        <f t="shared" si="0"/>
        <v>4176690</v>
      </c>
      <c r="G8" s="235"/>
      <c r="H8" s="233">
        <f>VLOOKUP($B8,FS_worksheet!$C$131:$H$221,5,FALSE)</f>
        <v>7314360</v>
      </c>
      <c r="J8" s="919">
        <f t="shared" ref="J8:J42" si="1">(H8-D8)/D8</f>
        <v>1.3311438105345685</v>
      </c>
    </row>
    <row r="9" spans="1:10" s="233" customFormat="1" ht="15.75" customHeight="1">
      <c r="A9" s="230"/>
      <c r="B9" s="231" t="str">
        <f>FS_worksheet!C164</f>
        <v xml:space="preserve">      네트웤활동비</v>
      </c>
      <c r="C9" s="230"/>
      <c r="D9" s="230">
        <f>VLOOKUP($B9,FS_worksheet!$C$131:$H$221,3,FALSE)</f>
        <v>3686020</v>
      </c>
      <c r="E9" s="230"/>
      <c r="F9" s="231">
        <f t="shared" si="0"/>
        <v>186980</v>
      </c>
      <c r="G9" s="232"/>
      <c r="H9" s="230">
        <f>VLOOKUP($B9,FS_worksheet!$C$131:$H$221,5,FALSE)</f>
        <v>3873000</v>
      </c>
      <c r="J9" s="919">
        <f t="shared" si="1"/>
        <v>5.07268001801401E-2</v>
      </c>
    </row>
    <row r="10" spans="1:10" s="233" customFormat="1" ht="15.75" customHeight="1">
      <c r="B10" s="234" t="str">
        <f>FS_worksheet!C165</f>
        <v xml:space="preserve">      목적사업비</v>
      </c>
      <c r="D10" s="233">
        <f>VLOOKUP($B10,FS_worksheet!$C$131:$H$221,3,FALSE)</f>
        <v>3109891671</v>
      </c>
      <c r="F10" s="234">
        <f t="shared" si="0"/>
        <v>738767960</v>
      </c>
      <c r="G10" s="235"/>
      <c r="H10" s="233">
        <f>VLOOKUP($B10,FS_worksheet!$C$131:$H$221,5,FALSE)</f>
        <v>3848659631</v>
      </c>
      <c r="J10" s="919">
        <f t="shared" si="1"/>
        <v>0.23755424244808043</v>
      </c>
    </row>
    <row r="11" spans="1:10" s="233" customFormat="1" ht="15.75" customHeight="1">
      <c r="A11" s="230"/>
      <c r="B11" s="231" t="str">
        <f>FS_worksheet!C166</f>
        <v xml:space="preserve">      배분경비</v>
      </c>
      <c r="C11" s="230"/>
      <c r="D11" s="230">
        <f>VLOOKUP($B11,FS_worksheet!$C$131:$H$221,3,FALSE)</f>
        <v>245652488</v>
      </c>
      <c r="E11" s="230"/>
      <c r="F11" s="231">
        <f t="shared" si="0"/>
        <v>34383758</v>
      </c>
      <c r="G11" s="232"/>
      <c r="H11" s="230">
        <f>VLOOKUP($B11,FS_worksheet!$C$131:$H$221,5,FALSE)</f>
        <v>280036246</v>
      </c>
      <c r="J11" s="919">
        <f t="shared" si="1"/>
        <v>0.13996910139171886</v>
      </c>
    </row>
    <row r="12" spans="1:10" s="233" customFormat="1" ht="15.75" customHeight="1">
      <c r="B12" s="234" t="str">
        <f>FS_worksheet!C167</f>
        <v xml:space="preserve">      배분인건비</v>
      </c>
      <c r="D12" s="233">
        <f>VLOOKUP($B12,FS_worksheet!$C$131:$H$221,3,FALSE)</f>
        <v>131114000</v>
      </c>
      <c r="F12" s="234">
        <f t="shared" si="0"/>
        <v>26803400</v>
      </c>
      <c r="G12" s="235"/>
      <c r="H12" s="233">
        <f>VLOOKUP($B12,FS_worksheet!$C$131:$H$221,5,FALSE)</f>
        <v>157917400</v>
      </c>
      <c r="J12" s="919">
        <f t="shared" si="1"/>
        <v>0.20442820751407173</v>
      </c>
    </row>
    <row r="13" spans="1:10" s="233" customFormat="1" ht="15.75" customHeight="1">
      <c r="A13" s="230"/>
      <c r="B13" s="231" t="str">
        <f>FS_worksheet!C168</f>
        <v xml:space="preserve">      출판인쇄비</v>
      </c>
      <c r="C13" s="230"/>
      <c r="D13" s="230">
        <f>VLOOKUP($B13,FS_worksheet!$C$131:$H$221,3,FALSE)</f>
        <v>47662418</v>
      </c>
      <c r="E13" s="230"/>
      <c r="F13" s="231">
        <f t="shared" si="0"/>
        <v>-8031338</v>
      </c>
      <c r="G13" s="232"/>
      <c r="H13" s="230">
        <f>VLOOKUP($B13,FS_worksheet!$C$131:$H$221,5,FALSE)</f>
        <v>39631080</v>
      </c>
      <c r="J13" s="919">
        <f t="shared" si="1"/>
        <v>-0.16850462769219976</v>
      </c>
    </row>
    <row r="14" spans="1:10" s="233" customFormat="1" ht="15.75" customHeight="1">
      <c r="B14" s="234" t="str">
        <f>FS_worksheet!C169</f>
        <v xml:space="preserve">      웹홍보비</v>
      </c>
      <c r="D14" s="233">
        <f>VLOOKUP($B14,FS_worksheet!$C$131:$H$221,3,FALSE)</f>
        <v>6720000</v>
      </c>
      <c r="F14" s="234">
        <f t="shared" si="0"/>
        <v>995130</v>
      </c>
      <c r="G14" s="235"/>
      <c r="H14" s="233">
        <f>VLOOKUP($B14,FS_worksheet!$C$131:$H$221,5,FALSE)</f>
        <v>7715130</v>
      </c>
      <c r="J14" s="919">
        <f t="shared" si="1"/>
        <v>0.14808482142857143</v>
      </c>
    </row>
    <row r="15" spans="1:10" s="233" customFormat="1" ht="15.75" customHeight="1">
      <c r="A15" s="230"/>
      <c r="B15" s="231" t="str">
        <f>FS_worksheet!C170</f>
        <v xml:space="preserve">      홍보물제작비</v>
      </c>
      <c r="C15" s="230"/>
      <c r="D15" s="230">
        <f>VLOOKUP($B15,FS_worksheet!$C$131:$H$221,3,FALSE)</f>
        <v>21468800</v>
      </c>
      <c r="E15" s="230"/>
      <c r="F15" s="231">
        <f t="shared" si="0"/>
        <v>-4410650</v>
      </c>
      <c r="G15" s="232"/>
      <c r="H15" s="230">
        <f>VLOOKUP($B15,FS_worksheet!$C$131:$H$221,5,FALSE)</f>
        <v>17058150</v>
      </c>
      <c r="J15" s="919">
        <f t="shared" si="1"/>
        <v>-0.20544464525264569</v>
      </c>
    </row>
    <row r="16" spans="1:10" s="233" customFormat="1" ht="15.75" customHeight="1">
      <c r="B16" s="234" t="str">
        <f>FS_worksheet!C171</f>
        <v xml:space="preserve">      홍보관리비</v>
      </c>
      <c r="D16" s="233">
        <f>VLOOKUP($B16,FS_worksheet!$C$131:$H$221,3,FALSE)</f>
        <v>1609410</v>
      </c>
      <c r="F16" s="234">
        <f t="shared" si="0"/>
        <v>242150</v>
      </c>
      <c r="G16" s="235"/>
      <c r="H16" s="233">
        <f>VLOOKUP($B16,FS_worksheet!$C$131:$H$221,5,FALSE)</f>
        <v>1851560</v>
      </c>
      <c r="J16" s="919">
        <f t="shared" si="1"/>
        <v>0.15045886380723369</v>
      </c>
    </row>
    <row r="17" spans="1:10" s="233" customFormat="1" ht="15.75" customHeight="1">
      <c r="A17" s="230"/>
      <c r="B17" s="231" t="str">
        <f>FS_worksheet!C172</f>
        <v xml:space="preserve">      10주년기념사업비</v>
      </c>
      <c r="C17" s="230"/>
      <c r="D17" s="230">
        <f>VLOOKUP($B17,FS_worksheet!$C$131:$H$221,3,FALSE)</f>
        <v>23532750</v>
      </c>
      <c r="E17" s="230"/>
      <c r="F17" s="231">
        <f t="shared" si="0"/>
        <v>-23532750</v>
      </c>
      <c r="G17" s="232"/>
      <c r="H17" s="230">
        <f>VLOOKUP($B17,FS_worksheet!$C$131:$H$221,5,FALSE)</f>
        <v>0</v>
      </c>
      <c r="J17" s="919">
        <f t="shared" si="1"/>
        <v>-1</v>
      </c>
    </row>
    <row r="18" spans="1:10" s="233" customFormat="1" ht="15.75" customHeight="1">
      <c r="B18" s="234" t="str">
        <f>FS_worksheet!C173</f>
        <v xml:space="preserve">      급여</v>
      </c>
      <c r="D18" s="233">
        <f>VLOOKUP($B18,FS_worksheet!$C$131:$H$221,3,FALSE)</f>
        <v>355137310</v>
      </c>
      <c r="F18" s="234">
        <f t="shared" si="0"/>
        <v>-22735170</v>
      </c>
      <c r="G18" s="235"/>
      <c r="H18" s="233">
        <f>VLOOKUP($B18,FS_worksheet!$C$131:$H$221,5,FALSE)</f>
        <v>332402140</v>
      </c>
      <c r="J18" s="919">
        <f t="shared" si="1"/>
        <v>-6.4017970964526369E-2</v>
      </c>
    </row>
    <row r="19" spans="1:10" s="233" customFormat="1" ht="15.75" customHeight="1">
      <c r="A19" s="230"/>
      <c r="B19" s="231" t="str">
        <f>FS_worksheet!C174</f>
        <v xml:space="preserve">      사회보험부담금</v>
      </c>
      <c r="C19" s="230"/>
      <c r="D19" s="230">
        <f>VLOOKUP($B19,FS_worksheet!$C$131:$H$221,3,FALSE)</f>
        <v>44561510</v>
      </c>
      <c r="E19" s="230"/>
      <c r="F19" s="231">
        <f t="shared" si="0"/>
        <v>-4619410</v>
      </c>
      <c r="G19" s="232"/>
      <c r="H19" s="230">
        <f>VLOOKUP($B19,FS_worksheet!$C$131:$H$221,5,FALSE)</f>
        <v>39942100</v>
      </c>
      <c r="J19" s="919">
        <f t="shared" si="1"/>
        <v>-0.10366367746514873</v>
      </c>
    </row>
    <row r="20" spans="1:10" s="233" customFormat="1" ht="15.75" customHeight="1">
      <c r="B20" s="234" t="str">
        <f>FS_worksheet!C175</f>
        <v xml:space="preserve">      일용잡급</v>
      </c>
      <c r="D20" s="233">
        <f>VLOOKUP($B20,FS_worksheet!$C$131:$H$221,3,FALSE)</f>
        <v>3670920</v>
      </c>
      <c r="F20" s="234">
        <f t="shared" si="0"/>
        <v>-3010920</v>
      </c>
      <c r="G20" s="235"/>
      <c r="H20" s="233">
        <f>VLOOKUP($B20,FS_worksheet!$C$131:$H$221,5,FALSE)</f>
        <v>660000</v>
      </c>
      <c r="J20" s="919">
        <f t="shared" si="1"/>
        <v>-0.82020855807263571</v>
      </c>
    </row>
    <row r="21" spans="1:10" s="233" customFormat="1" ht="15.75" customHeight="1">
      <c r="A21" s="230"/>
      <c r="B21" s="231" t="str">
        <f>FS_worksheet!C176</f>
        <v xml:space="preserve">      회의비</v>
      </c>
      <c r="C21" s="230"/>
      <c r="D21" s="230">
        <f>VLOOKUP($B21,FS_worksheet!$C$131:$H$221,3,FALSE)</f>
        <v>2877760</v>
      </c>
      <c r="E21" s="230"/>
      <c r="F21" s="231">
        <f t="shared" si="0"/>
        <v>-1238750</v>
      </c>
      <c r="G21" s="232"/>
      <c r="H21" s="230">
        <f>VLOOKUP($B21,FS_worksheet!$C$131:$H$221,5,FALSE)</f>
        <v>1639010</v>
      </c>
      <c r="J21" s="919">
        <f t="shared" si="1"/>
        <v>-0.43045632714333371</v>
      </c>
    </row>
    <row r="22" spans="1:10" s="233" customFormat="1" ht="15.75" customHeight="1">
      <c r="B22" s="234" t="str">
        <f>FS_worksheet!C177</f>
        <v xml:space="preserve">      기관운영비</v>
      </c>
      <c r="D22" s="233">
        <f>VLOOKUP($B22,FS_worksheet!$C$131:$H$221,3,FALSE)</f>
        <v>9155370</v>
      </c>
      <c r="F22" s="234">
        <f t="shared" si="0"/>
        <v>-8148459</v>
      </c>
      <c r="G22" s="235"/>
      <c r="H22" s="233">
        <f>VLOOKUP($B22,FS_worksheet!$C$131:$H$221,5,FALSE)</f>
        <v>1006911</v>
      </c>
      <c r="J22" s="919">
        <f t="shared" si="1"/>
        <v>-0.89001962782498145</v>
      </c>
    </row>
    <row r="23" spans="1:10" s="233" customFormat="1" ht="15.75" customHeight="1">
      <c r="A23" s="230"/>
      <c r="B23" s="231" t="str">
        <f>FS_worksheet!C178</f>
        <v xml:space="preserve">      직책보조비</v>
      </c>
      <c r="C23" s="230"/>
      <c r="D23" s="230">
        <f>VLOOKUP($B23,FS_worksheet!$C$131:$H$221,3,FALSE)</f>
        <v>9500000</v>
      </c>
      <c r="E23" s="230"/>
      <c r="F23" s="231">
        <f t="shared" si="0"/>
        <v>600000</v>
      </c>
      <c r="G23" s="232"/>
      <c r="H23" s="230">
        <f>VLOOKUP($B23,FS_worksheet!$C$131:$H$221,5,FALSE)</f>
        <v>10100000</v>
      </c>
      <c r="J23" s="919">
        <f t="shared" si="1"/>
        <v>6.3157894736842107E-2</v>
      </c>
    </row>
    <row r="24" spans="1:10" s="233" customFormat="1" ht="15.75" customHeight="1">
      <c r="B24" s="234" t="str">
        <f>FS_worksheet!C179</f>
        <v xml:space="preserve">      대외협력비</v>
      </c>
      <c r="D24" s="233">
        <f>VLOOKUP($B24,FS_worksheet!$C$131:$H$221,3,FALSE)</f>
        <v>1778200</v>
      </c>
      <c r="F24" s="234">
        <f t="shared" si="0"/>
        <v>2586255</v>
      </c>
      <c r="G24" s="235"/>
      <c r="H24" s="233">
        <f>VLOOKUP($B24,FS_worksheet!$C$131:$H$221,5,FALSE)</f>
        <v>4364455</v>
      </c>
      <c r="J24" s="919">
        <f t="shared" si="1"/>
        <v>1.4544230120346417</v>
      </c>
    </row>
    <row r="25" spans="1:10" s="233" customFormat="1" ht="15.75" customHeight="1">
      <c r="A25" s="230"/>
      <c r="B25" s="231" t="str">
        <f>FS_worksheet!C180</f>
        <v xml:space="preserve">      복리후생비</v>
      </c>
      <c r="C25" s="230"/>
      <c r="D25" s="230">
        <f>VLOOKUP($B25,FS_worksheet!$C$131:$H$221,3,FALSE)</f>
        <v>18700040</v>
      </c>
      <c r="E25" s="230"/>
      <c r="F25" s="231">
        <f t="shared" si="0"/>
        <v>-14208519</v>
      </c>
      <c r="G25" s="232"/>
      <c r="H25" s="230">
        <f>VLOOKUP($B25,FS_worksheet!$C$131:$H$221,5,FALSE)</f>
        <v>4491521</v>
      </c>
      <c r="J25" s="919">
        <f t="shared" si="1"/>
        <v>-0.7598122250005882</v>
      </c>
    </row>
    <row r="26" spans="1:10" s="233" customFormat="1" ht="15.75" customHeight="1">
      <c r="B26" s="234" t="str">
        <f>FS_worksheet!C181</f>
        <v xml:space="preserve">      교육훈련비</v>
      </c>
      <c r="D26" s="233">
        <f>VLOOKUP($B26,FS_worksheet!$C$131:$H$221,3,FALSE)</f>
        <v>7922660</v>
      </c>
      <c r="F26" s="234">
        <f t="shared" si="0"/>
        <v>-5977415</v>
      </c>
      <c r="G26" s="235"/>
      <c r="H26" s="233">
        <f>VLOOKUP($B26,FS_worksheet!$C$131:$H$221,5,FALSE)</f>
        <v>1945245</v>
      </c>
      <c r="J26" s="919">
        <f t="shared" si="1"/>
        <v>-0.75447072069229271</v>
      </c>
    </row>
    <row r="27" spans="1:10" s="233" customFormat="1" ht="15.75" customHeight="1">
      <c r="A27" s="230"/>
      <c r="B27" s="231" t="str">
        <f>FS_worksheet!C182</f>
        <v xml:space="preserve">      여비교통비</v>
      </c>
      <c r="C27" s="230"/>
      <c r="D27" s="230">
        <f>VLOOKUP($B27,FS_worksheet!$C$131:$H$221,3,FALSE)</f>
        <v>987080</v>
      </c>
      <c r="E27" s="230"/>
      <c r="F27" s="231">
        <f t="shared" si="0"/>
        <v>-478780</v>
      </c>
      <c r="G27" s="232"/>
      <c r="H27" s="230">
        <f>VLOOKUP($B27,FS_worksheet!$C$131:$H$221,5,FALSE)</f>
        <v>508300</v>
      </c>
      <c r="J27" s="919">
        <f t="shared" si="1"/>
        <v>-0.48504680471694289</v>
      </c>
    </row>
    <row r="28" spans="1:10" s="233" customFormat="1" ht="15.75" customHeight="1">
      <c r="B28" s="234" t="str">
        <f>FS_worksheet!C183</f>
        <v xml:space="preserve">      세금과공과</v>
      </c>
      <c r="D28" s="233">
        <f>VLOOKUP($B28,FS_worksheet!$C$131:$H$221,3,FALSE)</f>
        <v>10475964</v>
      </c>
      <c r="F28" s="234">
        <f t="shared" si="0"/>
        <v>334908</v>
      </c>
      <c r="G28" s="235"/>
      <c r="H28" s="233">
        <f>VLOOKUP($B28,FS_worksheet!$C$131:$H$221,5,FALSE)</f>
        <v>10810872</v>
      </c>
      <c r="J28" s="919">
        <f t="shared" si="1"/>
        <v>3.1969182024680499E-2</v>
      </c>
    </row>
    <row r="29" spans="1:10" s="233" customFormat="1" ht="15.75" customHeight="1">
      <c r="A29" s="230"/>
      <c r="B29" s="231" t="str">
        <f>FS_worksheet!C184</f>
        <v xml:space="preserve">      보험료</v>
      </c>
      <c r="C29" s="230"/>
      <c r="D29" s="230">
        <f>VLOOKUP($B29,FS_worksheet!$C$131:$H$221,3,FALSE)</f>
        <v>1283476</v>
      </c>
      <c r="E29" s="230"/>
      <c r="F29" s="231">
        <f t="shared" si="0"/>
        <v>-53604</v>
      </c>
      <c r="G29" s="232"/>
      <c r="H29" s="230">
        <f>VLOOKUP($B29,FS_worksheet!$C$131:$H$221,5,FALSE)</f>
        <v>1229872</v>
      </c>
      <c r="J29" s="919">
        <f t="shared" si="1"/>
        <v>-4.1764707715609799E-2</v>
      </c>
    </row>
    <row r="30" spans="1:10" s="233" customFormat="1" ht="15.75" customHeight="1">
      <c r="B30" s="234" t="str">
        <f>FS_worksheet!C185</f>
        <v xml:space="preserve">      수도광열비</v>
      </c>
      <c r="D30" s="233">
        <f>VLOOKUP($B30,FS_worksheet!$C$131:$H$221,3,FALSE)</f>
        <v>9715850</v>
      </c>
      <c r="F30" s="234">
        <f t="shared" si="0"/>
        <v>-508830</v>
      </c>
      <c r="G30" s="235"/>
      <c r="H30" s="233">
        <f>VLOOKUP($B30,FS_worksheet!$C$131:$H$221,5,FALSE)</f>
        <v>9207020</v>
      </c>
      <c r="J30" s="919">
        <f t="shared" si="1"/>
        <v>-5.2371125531991539E-2</v>
      </c>
    </row>
    <row r="31" spans="1:10" s="233" customFormat="1" ht="15.75" customHeight="1">
      <c r="A31" s="230"/>
      <c r="B31" s="231" t="str">
        <f>FS_worksheet!C186</f>
        <v xml:space="preserve">      통신비</v>
      </c>
      <c r="C31" s="230"/>
      <c r="D31" s="230">
        <f>VLOOKUP($B31,FS_worksheet!$C$131:$H$221,3,FALSE)</f>
        <v>5382700</v>
      </c>
      <c r="E31" s="230"/>
      <c r="F31" s="231">
        <f t="shared" si="0"/>
        <v>-3312900</v>
      </c>
      <c r="G31" s="232"/>
      <c r="H31" s="230">
        <f>VLOOKUP($B31,FS_worksheet!$C$131:$H$221,5,FALSE)</f>
        <v>2069800</v>
      </c>
      <c r="J31" s="919">
        <f t="shared" si="1"/>
        <v>-0.61547178925074775</v>
      </c>
    </row>
    <row r="32" spans="1:10" s="233" customFormat="1" ht="15.75" customHeight="1">
      <c r="B32" s="234" t="str">
        <f>FS_worksheet!C187</f>
        <v xml:space="preserve">      운.발송비</v>
      </c>
      <c r="D32" s="233">
        <f>VLOOKUP($B32,FS_worksheet!$C$131:$H$221,3,FALSE)</f>
        <v>505700</v>
      </c>
      <c r="F32" s="234">
        <f t="shared" si="0"/>
        <v>85160</v>
      </c>
      <c r="G32" s="235"/>
      <c r="H32" s="233">
        <f>VLOOKUP($B32,FS_worksheet!$C$131:$H$221,5,FALSE)</f>
        <v>590860</v>
      </c>
      <c r="J32" s="919">
        <f t="shared" si="1"/>
        <v>0.16840023729483883</v>
      </c>
    </row>
    <row r="33" spans="1:10" s="233" customFormat="1" ht="15.75" customHeight="1">
      <c r="A33" s="230"/>
      <c r="B33" s="231" t="str">
        <f>FS_worksheet!C188</f>
        <v xml:space="preserve">      수수료비용</v>
      </c>
      <c r="C33" s="230"/>
      <c r="D33" s="230">
        <f>VLOOKUP($B33,FS_worksheet!$C$131:$H$221,3,FALSE)</f>
        <v>19532646</v>
      </c>
      <c r="E33" s="230"/>
      <c r="F33" s="231">
        <f t="shared" si="0"/>
        <v>813418</v>
      </c>
      <c r="G33" s="232"/>
      <c r="H33" s="230">
        <f>VLOOKUP($B33,FS_worksheet!$C$131:$H$221,5,FALSE)</f>
        <v>20346064</v>
      </c>
      <c r="J33" s="919">
        <f t="shared" si="1"/>
        <v>4.1644025084978248E-2</v>
      </c>
    </row>
    <row r="34" spans="1:10" s="233" customFormat="1" ht="15.75" customHeight="1">
      <c r="B34" s="234" t="str">
        <f>FS_worksheet!C189</f>
        <v xml:space="preserve">      도서인쇄비</v>
      </c>
      <c r="D34" s="233">
        <f>VLOOKUP($B34,FS_worksheet!$C$131:$H$221,3,FALSE)</f>
        <v>878800</v>
      </c>
      <c r="F34" s="234">
        <f t="shared" si="0"/>
        <v>-206700</v>
      </c>
      <c r="G34" s="235"/>
      <c r="H34" s="233">
        <f>VLOOKUP($B34,FS_worksheet!$C$131:$H$221,5,FALSE)</f>
        <v>672100</v>
      </c>
      <c r="J34" s="919">
        <f t="shared" si="1"/>
        <v>-0.23520710059171598</v>
      </c>
    </row>
    <row r="35" spans="1:10" s="233" customFormat="1" ht="15.75" customHeight="1">
      <c r="A35" s="230"/>
      <c r="B35" s="231" t="str">
        <f>FS_worksheet!C190</f>
        <v xml:space="preserve">      사무용품비</v>
      </c>
      <c r="C35" s="230"/>
      <c r="D35" s="230">
        <f>VLOOKUP($B35,FS_worksheet!$C$131:$H$221,3,FALSE)</f>
        <v>8871710</v>
      </c>
      <c r="E35" s="230"/>
      <c r="F35" s="231">
        <f t="shared" si="0"/>
        <v>-5465058</v>
      </c>
      <c r="G35" s="232"/>
      <c r="H35" s="230">
        <f>VLOOKUP($B35,FS_worksheet!$C$131:$H$221,5,FALSE)</f>
        <v>3406652</v>
      </c>
      <c r="J35" s="919">
        <f t="shared" si="1"/>
        <v>-0.6160095404380892</v>
      </c>
    </row>
    <row r="36" spans="1:10" s="233" customFormat="1" ht="15.75" customHeight="1">
      <c r="B36" s="234" t="str">
        <f>FS_worksheet!C191</f>
        <v xml:space="preserve">      수선비</v>
      </c>
      <c r="D36" s="233">
        <f>VLOOKUP($B36,FS_worksheet!$C$131:$H$221,3,FALSE)</f>
        <v>487800</v>
      </c>
      <c r="F36" s="234">
        <f t="shared" si="0"/>
        <v>-437800</v>
      </c>
      <c r="G36" s="235"/>
      <c r="H36" s="233">
        <f>VLOOKUP($B36,FS_worksheet!$C$131:$H$221,5,FALSE)</f>
        <v>50000</v>
      </c>
      <c r="J36" s="919">
        <f t="shared" si="1"/>
        <v>-0.89749897498974984</v>
      </c>
    </row>
    <row r="37" spans="1:10" s="233" customFormat="1" ht="15.75" customHeight="1">
      <c r="A37" s="230"/>
      <c r="B37" s="231" t="str">
        <f>FS_worksheet!C192</f>
        <v xml:space="preserve">      기타경상비</v>
      </c>
      <c r="C37" s="230"/>
      <c r="D37" s="230">
        <f>VLOOKUP($B37,FS_worksheet!$C$131:$H$221,3,FALSE)</f>
        <v>510750</v>
      </c>
      <c r="E37" s="230"/>
      <c r="F37" s="231">
        <f t="shared" si="0"/>
        <v>-503350</v>
      </c>
      <c r="G37" s="232"/>
      <c r="H37" s="230">
        <f>VLOOKUP($B37,FS_worksheet!$C$131:$H$221,5,FALSE)</f>
        <v>7400</v>
      </c>
      <c r="J37" s="919">
        <f t="shared" si="1"/>
        <v>-0.9855115026921194</v>
      </c>
    </row>
    <row r="38" spans="1:10" s="233" customFormat="1" ht="15.75" customHeight="1">
      <c r="B38" s="234" t="str">
        <f>FS_worksheet!C193</f>
        <v xml:space="preserve">      감가상각비</v>
      </c>
      <c r="D38" s="233">
        <f>VLOOKUP($B38,FS_worksheet!$C$131:$H$221,3,FALSE)</f>
        <v>76858853</v>
      </c>
      <c r="F38" s="234">
        <f t="shared" si="0"/>
        <v>8326055</v>
      </c>
      <c r="G38" s="235"/>
      <c r="H38" s="233">
        <f>VLOOKUP($B38,FS_worksheet!$C$131:$H$221,5,FALSE)</f>
        <v>85184908</v>
      </c>
      <c r="J38" s="919">
        <f t="shared" si="1"/>
        <v>0.10832916020747799</v>
      </c>
    </row>
    <row r="39" spans="1:10" s="233" customFormat="1" ht="15.75" customHeight="1">
      <c r="A39" s="230"/>
      <c r="B39" s="231" t="str">
        <f>FS_worksheet!C194</f>
        <v xml:space="preserve">      자산취득비</v>
      </c>
      <c r="C39" s="230"/>
      <c r="D39" s="230">
        <f>VLOOKUP($B39,FS_worksheet!$C$131:$H$221,3,FALSE)</f>
        <v>499200</v>
      </c>
      <c r="E39" s="230"/>
      <c r="F39" s="231">
        <f t="shared" si="0"/>
        <v>-499200</v>
      </c>
      <c r="G39" s="232"/>
      <c r="H39" s="230">
        <f>VLOOKUP($B39,FS_worksheet!$C$131:$H$221,5,FALSE)</f>
        <v>0</v>
      </c>
      <c r="J39" s="919">
        <f t="shared" si="1"/>
        <v>-1</v>
      </c>
    </row>
    <row r="40" spans="1:10" s="233" customFormat="1" ht="15.75" customHeight="1">
      <c r="B40" s="234" t="str">
        <f>FS_worksheet!C195</f>
        <v xml:space="preserve">      시설장비유지비</v>
      </c>
      <c r="D40" s="233">
        <f>VLOOKUP($B40,FS_worksheet!$C$131:$H$221,3,FALSE)</f>
        <v>20905410</v>
      </c>
      <c r="F40" s="234">
        <f t="shared" si="0"/>
        <v>-8030</v>
      </c>
      <c r="G40" s="235"/>
      <c r="H40" s="233">
        <f>VLOOKUP($B40,FS_worksheet!$C$131:$H$221,5,FALSE)</f>
        <v>20897380</v>
      </c>
      <c r="J40" s="919">
        <f t="shared" si="1"/>
        <v>-3.8411109851469068E-4</v>
      </c>
    </row>
    <row r="41" spans="1:10" s="233" customFormat="1" ht="15.75" customHeight="1">
      <c r="A41" s="230"/>
      <c r="B41" s="231" t="str">
        <f>FS_worksheet!C196</f>
        <v xml:space="preserve">      잡지출</v>
      </c>
      <c r="C41" s="230"/>
      <c r="D41" s="230">
        <f>VLOOKUP($B41,FS_worksheet!$C$131:$H$221,3,FALSE)</f>
        <v>58400</v>
      </c>
      <c r="E41" s="230"/>
      <c r="F41" s="231">
        <f t="shared" si="0"/>
        <v>-38770</v>
      </c>
      <c r="G41" s="232"/>
      <c r="H41" s="230">
        <f>VLOOKUP($B41,FS_worksheet!$C$131:$H$221,5,FALSE)</f>
        <v>19630</v>
      </c>
      <c r="J41" s="919">
        <f t="shared" si="1"/>
        <v>-0.66386986301369866</v>
      </c>
    </row>
    <row r="42" spans="1:10" s="233" customFormat="1" ht="15.75" customHeight="1">
      <c r="B42" s="234" t="str">
        <f>FS_worksheet!C197</f>
        <v xml:space="preserve">      퇴직급여</v>
      </c>
      <c r="D42" s="233">
        <f>VLOOKUP($B42,FS_worksheet!$C$131:$H$221,3,FALSE)</f>
        <v>44027322</v>
      </c>
      <c r="F42" s="234">
        <f t="shared" si="0"/>
        <v>12470028</v>
      </c>
      <c r="G42" s="235"/>
      <c r="H42" s="233">
        <f>VLOOKUP($B42,FS_worksheet!$C$131:$H$221,5,FALSE)</f>
        <v>56497350</v>
      </c>
      <c r="J42" s="919">
        <f t="shared" si="1"/>
        <v>0.28323385192494788</v>
      </c>
    </row>
    <row r="43" spans="1:10" s="233" customFormat="1" ht="15.75" customHeight="1" thickBot="1">
      <c r="A43" s="257"/>
      <c r="B43" s="234"/>
      <c r="D43" s="259">
        <f>SUM(D7:D42)</f>
        <v>4304626105</v>
      </c>
      <c r="F43" s="260">
        <f>SUM(F7:F42)</f>
        <v>684677062</v>
      </c>
      <c r="G43" s="235"/>
      <c r="H43" s="259">
        <f>SUM(H7:H42)</f>
        <v>4989303167</v>
      </c>
    </row>
    <row r="44" spans="1:10" s="233" customFormat="1" ht="15.75" customHeight="1" thickTop="1">
      <c r="A44" s="257"/>
      <c r="D44" s="223"/>
      <c r="F44" s="258"/>
      <c r="H44" s="223"/>
    </row>
    <row r="45" spans="1:10" ht="15.75" customHeight="1">
      <c r="F45" s="223"/>
    </row>
    <row r="46" spans="1:10" ht="15.75" customHeight="1">
      <c r="A46" s="222" t="s">
        <v>244</v>
      </c>
      <c r="F46" s="223"/>
    </row>
    <row r="47" spans="1:10" ht="15.75" customHeight="1">
      <c r="A47" s="224" t="s">
        <v>247</v>
      </c>
      <c r="B47" s="223" t="s">
        <v>977</v>
      </c>
      <c r="F47" s="223"/>
    </row>
    <row r="48" spans="1:10" ht="15.75" customHeight="1">
      <c r="A48" s="224" t="s">
        <v>34</v>
      </c>
      <c r="B48" s="223" t="s">
        <v>978</v>
      </c>
      <c r="F48" s="223"/>
    </row>
    <row r="49" spans="1:11" ht="15.75" customHeight="1">
      <c r="A49" s="224" t="s">
        <v>35</v>
      </c>
      <c r="B49" s="223" t="s">
        <v>979</v>
      </c>
      <c r="F49" s="223"/>
    </row>
    <row r="50" spans="1:11" ht="15.75" customHeight="1">
      <c r="F50" s="223"/>
    </row>
    <row r="51" spans="1:11" ht="15.75" customHeight="1">
      <c r="F51" s="223"/>
    </row>
    <row r="52" spans="1:11" ht="15.75" customHeight="1">
      <c r="A52" s="222" t="s">
        <v>246</v>
      </c>
      <c r="F52" s="223"/>
    </row>
    <row r="53" spans="1:11" s="225" customFormat="1" ht="15.75" customHeight="1">
      <c r="A53" s="227" t="s">
        <v>247</v>
      </c>
      <c r="B53" s="223" t="s">
        <v>980</v>
      </c>
      <c r="C53" s="223"/>
    </row>
    <row r="54" spans="1:11" s="225" customFormat="1" ht="15.75" customHeight="1">
      <c r="A54" s="223"/>
      <c r="B54" s="223" t="s">
        <v>137</v>
      </c>
      <c r="C54" s="223"/>
    </row>
    <row r="55" spans="1:11" s="225" customFormat="1" ht="15.75" customHeight="1">
      <c r="A55" s="223"/>
      <c r="B55" s="223" t="s">
        <v>981</v>
      </c>
      <c r="C55" s="223"/>
    </row>
    <row r="56" spans="1:11" s="225" customFormat="1" ht="15.75" customHeight="1">
      <c r="A56" s="223"/>
      <c r="B56" s="223" t="s">
        <v>982</v>
      </c>
      <c r="C56" s="223"/>
    </row>
    <row r="57" spans="1:11" s="225" customFormat="1" ht="15.75" customHeight="1">
      <c r="A57" s="223"/>
      <c r="B57" s="223" t="s">
        <v>983</v>
      </c>
      <c r="C57" s="223"/>
    </row>
    <row r="58" spans="1:11" s="225" customFormat="1" ht="15.75" customHeight="1">
      <c r="A58" s="223"/>
      <c r="B58" s="223" t="s">
        <v>984</v>
      </c>
      <c r="C58" s="223"/>
    </row>
    <row r="59" spans="1:11" s="225" customFormat="1" ht="15.75" customHeight="1">
      <c r="A59" s="227" t="s">
        <v>360</v>
      </c>
      <c r="B59" s="223" t="s">
        <v>985</v>
      </c>
      <c r="C59" s="223"/>
      <c r="J59" s="716"/>
      <c r="K59" s="714"/>
    </row>
    <row r="60" spans="1:11" s="225" customFormat="1" ht="15.75" customHeight="1">
      <c r="A60" s="227"/>
      <c r="B60" s="223"/>
      <c r="C60" s="223"/>
      <c r="J60" s="716"/>
      <c r="K60" s="714"/>
    </row>
    <row r="61" spans="1:11" s="225" customFormat="1" ht="15.75" customHeight="1">
      <c r="A61" s="227"/>
      <c r="B61" s="714" t="s">
        <v>2789</v>
      </c>
      <c r="C61" s="223"/>
      <c r="J61" s="716"/>
      <c r="K61" s="714"/>
    </row>
    <row r="62" spans="1:11" s="225" customFormat="1" ht="15.75" customHeight="1">
      <c r="A62" s="717" t="s">
        <v>2794</v>
      </c>
      <c r="B62" s="713" t="s">
        <v>2795</v>
      </c>
      <c r="C62" s="223"/>
      <c r="J62" s="716"/>
      <c r="K62" s="714"/>
    </row>
    <row r="63" spans="1:11" s="225" customFormat="1" ht="15.75" customHeight="1">
      <c r="A63" s="718" t="s">
        <v>1310</v>
      </c>
      <c r="B63" s="713" t="s">
        <v>2796</v>
      </c>
      <c r="J63" s="716"/>
      <c r="K63" s="714"/>
    </row>
    <row r="64" spans="1:11" ht="15.75" customHeight="1">
      <c r="F64" s="223"/>
    </row>
    <row r="65" spans="1:6" s="225" customFormat="1" ht="15.75" customHeight="1">
      <c r="A65" s="228" t="s">
        <v>248</v>
      </c>
    </row>
    <row r="66" spans="1:6" s="225" customFormat="1" ht="15.75" customHeight="1"/>
    <row r="67" spans="1:6" s="225" customFormat="1" ht="15.75" customHeight="1"/>
    <row r="68" spans="1:6" s="225" customFormat="1" ht="15.75" customHeight="1">
      <c r="A68" s="228" t="s">
        <v>762</v>
      </c>
    </row>
    <row r="69" spans="1:6" s="225" customFormat="1" ht="15.75" customHeight="1">
      <c r="A69" s="253" t="s">
        <v>761</v>
      </c>
    </row>
    <row r="70" spans="1:6" ht="15.75" customHeight="1">
      <c r="A70" s="264"/>
      <c r="B70" s="225" t="s">
        <v>754</v>
      </c>
      <c r="C70" s="225"/>
      <c r="D70" s="225"/>
      <c r="E70" s="225"/>
      <c r="F70" s="225" t="s">
        <v>755</v>
      </c>
    </row>
    <row r="71" spans="1:6" ht="15.75" customHeight="1">
      <c r="F71" s="223"/>
    </row>
    <row r="72" spans="1:6" ht="15.75" customHeight="1">
      <c r="F72" s="223"/>
    </row>
    <row r="73" spans="1:6" ht="15.75" customHeight="1">
      <c r="F73" s="223"/>
    </row>
    <row r="74" spans="1:6" ht="15.75" customHeight="1">
      <c r="F74" s="223"/>
    </row>
    <row r="75" spans="1:6" ht="15.75" customHeight="1">
      <c r="F75" s="223"/>
    </row>
    <row r="76" spans="1:6" ht="15.75" customHeight="1">
      <c r="F76" s="223"/>
    </row>
    <row r="77" spans="1:6" ht="15.75" customHeight="1">
      <c r="F77" s="223"/>
    </row>
    <row r="78" spans="1:6" ht="15.75" customHeight="1">
      <c r="F78" s="223"/>
    </row>
    <row r="79" spans="1:6" ht="15.75" customHeight="1">
      <c r="F79" s="223"/>
    </row>
    <row r="80" spans="1:6" ht="15.75" customHeight="1">
      <c r="F80" s="223"/>
    </row>
    <row r="81" spans="6:6" ht="15.75" customHeight="1">
      <c r="F81" s="223"/>
    </row>
    <row r="82" spans="6:6" ht="15.75" customHeight="1">
      <c r="F82" s="223"/>
    </row>
    <row r="83" spans="6:6" ht="15.75" customHeight="1">
      <c r="F83" s="223"/>
    </row>
    <row r="84" spans="6:6" ht="15.75" customHeight="1">
      <c r="F84" s="223"/>
    </row>
    <row r="85" spans="6:6" ht="15.75" customHeight="1">
      <c r="F85" s="223"/>
    </row>
    <row r="86" spans="6:6" ht="15.75" customHeight="1">
      <c r="F86" s="223"/>
    </row>
    <row r="87" spans="6:6" ht="15.75" customHeight="1">
      <c r="F87" s="223"/>
    </row>
    <row r="88" spans="6:6" ht="15.75" customHeight="1">
      <c r="F88" s="223"/>
    </row>
    <row r="89" spans="6:6" ht="15.75" customHeight="1">
      <c r="F89" s="223"/>
    </row>
    <row r="90" spans="6:6" ht="15.75" customHeight="1">
      <c r="F90" s="223"/>
    </row>
    <row r="91" spans="6:6" ht="15.75" customHeight="1">
      <c r="F91" s="223"/>
    </row>
    <row r="92" spans="6:6" ht="15.75" customHeight="1">
      <c r="F92" s="223"/>
    </row>
    <row r="93" spans="6:6" ht="15.75" customHeight="1">
      <c r="F93" s="223"/>
    </row>
    <row r="94" spans="6:6" ht="15.75" customHeight="1">
      <c r="F94" s="223"/>
    </row>
    <row r="95" spans="6:6" ht="15.75" customHeight="1">
      <c r="F95" s="223"/>
    </row>
    <row r="96" spans="6:6" ht="15.75" customHeight="1">
      <c r="F96" s="223"/>
    </row>
    <row r="97" spans="6:6" ht="15.75" customHeight="1">
      <c r="F97" s="223"/>
    </row>
    <row r="98" spans="6:6" ht="15.75" customHeight="1">
      <c r="F98" s="223"/>
    </row>
    <row r="99" spans="6:6" ht="15.75" customHeight="1">
      <c r="F99" s="223"/>
    </row>
    <row r="100" spans="6:6" ht="15.75" customHeight="1">
      <c r="F100" s="223"/>
    </row>
    <row r="101" spans="6:6" ht="15.75" customHeight="1">
      <c r="F101" s="223"/>
    </row>
    <row r="102" spans="6:6" ht="15.75" customHeight="1">
      <c r="F102" s="223"/>
    </row>
    <row r="103" spans="6:6" ht="15.75" customHeight="1">
      <c r="F103" s="223"/>
    </row>
    <row r="104" spans="6:6" ht="15.75" customHeight="1">
      <c r="F104" s="223"/>
    </row>
    <row r="105" spans="6:6" ht="15.75" customHeight="1">
      <c r="F105" s="223"/>
    </row>
    <row r="106" spans="6:6" ht="15.75" customHeight="1">
      <c r="F106" s="223"/>
    </row>
    <row r="107" spans="6:6" ht="15.75" customHeight="1">
      <c r="F107" s="223"/>
    </row>
    <row r="108" spans="6:6" ht="15.75" customHeight="1">
      <c r="F108" s="223"/>
    </row>
    <row r="109" spans="6:6" ht="15.75" customHeight="1">
      <c r="F109" s="223"/>
    </row>
    <row r="110" spans="6:6" ht="15.75" customHeight="1">
      <c r="F110" s="223"/>
    </row>
    <row r="111" spans="6:6" ht="15.75" customHeight="1">
      <c r="F111" s="223"/>
    </row>
    <row r="112" spans="6:6" ht="15.75" customHeight="1">
      <c r="F112" s="223"/>
    </row>
    <row r="113" spans="6:6" ht="15.75" customHeight="1">
      <c r="F113" s="223"/>
    </row>
    <row r="114" spans="6:6" ht="15.75" customHeight="1">
      <c r="F114" s="223"/>
    </row>
    <row r="115" spans="6:6" ht="15.75" customHeight="1">
      <c r="F115" s="223"/>
    </row>
    <row r="116" spans="6:6" ht="15.75" customHeight="1">
      <c r="F116" s="223"/>
    </row>
    <row r="117" spans="6:6" ht="15.75" customHeight="1">
      <c r="F117" s="223"/>
    </row>
    <row r="118" spans="6:6" ht="15.75" customHeight="1">
      <c r="F118" s="223"/>
    </row>
    <row r="119" spans="6:6" ht="15.75" customHeight="1">
      <c r="F119" s="223"/>
    </row>
    <row r="120" spans="6:6" ht="15.75" customHeight="1">
      <c r="F120" s="223"/>
    </row>
    <row r="121" spans="6:6" ht="15.75" customHeight="1">
      <c r="F121" s="223"/>
    </row>
    <row r="122" spans="6:6" ht="15.75" customHeight="1">
      <c r="F122" s="223"/>
    </row>
    <row r="123" spans="6:6" ht="15.75" customHeight="1">
      <c r="F123" s="223"/>
    </row>
    <row r="124" spans="6:6" ht="15.75" customHeight="1">
      <c r="F124" s="223"/>
    </row>
    <row r="125" spans="6:6" ht="15.75" customHeight="1">
      <c r="F125" s="223"/>
    </row>
    <row r="126" spans="6:6" ht="15.75" customHeight="1">
      <c r="F126" s="223"/>
    </row>
    <row r="127" spans="6:6" ht="15.75" customHeight="1">
      <c r="F127" s="223"/>
    </row>
    <row r="128" spans="6:6" ht="15.75" customHeight="1">
      <c r="F128" s="223"/>
    </row>
    <row r="129" spans="6:6" ht="15.75" customHeight="1">
      <c r="F129" s="223"/>
    </row>
    <row r="130" spans="6:6" ht="15.75" customHeight="1">
      <c r="F130" s="223"/>
    </row>
    <row r="131" spans="6:6" ht="15.75" customHeight="1">
      <c r="F131" s="223"/>
    </row>
    <row r="132" spans="6:6" ht="15.75" customHeight="1">
      <c r="F132" s="223"/>
    </row>
    <row r="133" spans="6:6" ht="15.75" customHeight="1">
      <c r="F133" s="223"/>
    </row>
    <row r="134" spans="6:6" ht="15.75" customHeight="1">
      <c r="F134" s="223"/>
    </row>
    <row r="135" spans="6:6" ht="15.75" customHeight="1">
      <c r="F135" s="223"/>
    </row>
    <row r="136" spans="6:6" ht="15.75" customHeight="1">
      <c r="F136" s="223"/>
    </row>
    <row r="137" spans="6:6" ht="15.75" customHeight="1">
      <c r="F137" s="223"/>
    </row>
    <row r="138" spans="6:6" ht="15.75" customHeight="1">
      <c r="F138" s="223"/>
    </row>
    <row r="139" spans="6:6" ht="15.75" customHeight="1">
      <c r="F139" s="223"/>
    </row>
    <row r="140" spans="6:6" ht="15.75" customHeight="1">
      <c r="F140" s="223"/>
    </row>
    <row r="141" spans="6:6" ht="15.75" customHeight="1">
      <c r="F141" s="223"/>
    </row>
    <row r="142" spans="6:6" ht="15.75" customHeight="1">
      <c r="F142" s="223"/>
    </row>
    <row r="143" spans="6:6" ht="15.75" customHeight="1">
      <c r="F143" s="223"/>
    </row>
    <row r="144" spans="6:6" ht="15.75" customHeight="1">
      <c r="F144" s="223"/>
    </row>
    <row r="145" spans="6:6" ht="15.75" customHeight="1">
      <c r="F145" s="223"/>
    </row>
    <row r="146" spans="6:6" ht="15.75" customHeight="1">
      <c r="F146" s="223"/>
    </row>
    <row r="147" spans="6:6" ht="15.75" customHeight="1">
      <c r="F147" s="223"/>
    </row>
    <row r="148" spans="6:6" ht="15.75" customHeight="1">
      <c r="F148" s="223"/>
    </row>
    <row r="149" spans="6:6" ht="15.75" customHeight="1">
      <c r="F149" s="223"/>
    </row>
    <row r="150" spans="6:6" ht="15.75" customHeight="1">
      <c r="F150" s="223"/>
    </row>
    <row r="151" spans="6:6" ht="15.75" customHeight="1">
      <c r="F151" s="223"/>
    </row>
    <row r="152" spans="6:6" ht="15.75" customHeight="1">
      <c r="F152" s="223"/>
    </row>
    <row r="153" spans="6:6" ht="15.75" customHeight="1">
      <c r="F153" s="223"/>
    </row>
    <row r="154" spans="6:6" ht="15.75" customHeight="1">
      <c r="F154" s="223"/>
    </row>
    <row r="155" spans="6:6" ht="15.75" customHeight="1">
      <c r="F155" s="223"/>
    </row>
    <row r="156" spans="6:6" ht="15.75" customHeight="1">
      <c r="F156" s="223"/>
    </row>
    <row r="157" spans="6:6" ht="15.75" customHeight="1">
      <c r="F157" s="223"/>
    </row>
    <row r="158" spans="6:6" ht="15.75" customHeight="1">
      <c r="F158" s="223"/>
    </row>
    <row r="159" spans="6:6" ht="15.75" customHeight="1">
      <c r="F159" s="223"/>
    </row>
    <row r="160" spans="6:6" ht="15.75" customHeight="1">
      <c r="F160" s="223"/>
    </row>
    <row r="161" spans="6:6" ht="15.75" customHeight="1">
      <c r="F161" s="223"/>
    </row>
    <row r="162" spans="6:6" ht="15.75" customHeight="1">
      <c r="F162" s="223"/>
    </row>
    <row r="163" spans="6:6" ht="15.75" customHeight="1">
      <c r="F163" s="223"/>
    </row>
    <row r="164" spans="6:6" ht="15.75" customHeight="1">
      <c r="F164" s="223"/>
    </row>
    <row r="165" spans="6:6" ht="15.75" customHeight="1">
      <c r="F165" s="223"/>
    </row>
    <row r="166" spans="6:6" ht="15.75" customHeight="1">
      <c r="F166" s="223"/>
    </row>
    <row r="167" spans="6:6" ht="15.75" customHeight="1">
      <c r="F167" s="223"/>
    </row>
    <row r="168" spans="6:6" ht="15.75" customHeight="1">
      <c r="F168" s="223"/>
    </row>
    <row r="169" spans="6:6" ht="15.75" customHeight="1">
      <c r="F169" s="223"/>
    </row>
    <row r="170" spans="6:6" ht="15.75" customHeight="1">
      <c r="F170" s="223"/>
    </row>
    <row r="171" spans="6:6" ht="15.75" customHeight="1">
      <c r="F171" s="223"/>
    </row>
    <row r="172" spans="6:6" ht="15.75" customHeight="1">
      <c r="F172" s="223"/>
    </row>
    <row r="173" spans="6:6" ht="15.75" customHeight="1">
      <c r="F173" s="223"/>
    </row>
    <row r="174" spans="6:6" ht="15.75" customHeight="1">
      <c r="F174" s="223"/>
    </row>
    <row r="175" spans="6:6" ht="15.75" customHeight="1">
      <c r="F175" s="223"/>
    </row>
    <row r="176" spans="6:6" ht="15.75" customHeight="1">
      <c r="F176" s="223"/>
    </row>
    <row r="177" spans="6:6" ht="15.75" customHeight="1">
      <c r="F177" s="223"/>
    </row>
    <row r="178" spans="6:6" ht="15.75" customHeight="1">
      <c r="F178" s="223"/>
    </row>
    <row r="179" spans="6:6" ht="15.75" customHeight="1">
      <c r="F179" s="223"/>
    </row>
    <row r="180" spans="6:6" ht="15.75" customHeight="1">
      <c r="F180" s="223"/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00B0F0"/>
  </sheetPr>
  <dimension ref="A1:J45"/>
  <sheetViews>
    <sheetView topLeftCell="A31" workbookViewId="0">
      <selection activeCell="G8" sqref="G8"/>
    </sheetView>
  </sheetViews>
  <sheetFormatPr defaultRowHeight="16.5"/>
  <cols>
    <col min="1" max="1" width="3.875" customWidth="1"/>
    <col min="3" max="7" width="12.625" bestFit="1" customWidth="1"/>
  </cols>
  <sheetData>
    <row r="1" spans="1:10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803" t="s">
        <v>1</v>
      </c>
    </row>
    <row r="2" spans="1:10">
      <c r="A2" s="375" t="s">
        <v>3558</v>
      </c>
      <c r="B2" s="446"/>
      <c r="C2" s="446"/>
      <c r="D2" s="446"/>
      <c r="E2" s="446"/>
      <c r="F2" s="1274" t="s">
        <v>3559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0">
      <c r="A6" s="891" t="s">
        <v>3564</v>
      </c>
      <c r="B6" s="892"/>
      <c r="C6" s="892"/>
      <c r="D6" s="892"/>
      <c r="E6" s="892"/>
    </row>
    <row r="7" spans="1:10">
      <c r="A7" s="892"/>
      <c r="B7" s="892"/>
      <c r="C7" s="892"/>
      <c r="D7" s="892"/>
      <c r="E7" s="892"/>
    </row>
    <row r="8" spans="1:10">
      <c r="A8" s="892"/>
      <c r="B8" s="892" t="s">
        <v>4874</v>
      </c>
      <c r="C8" s="892"/>
      <c r="D8" s="893"/>
      <c r="E8" s="892"/>
    </row>
    <row r="9" spans="1:10">
      <c r="A9" s="892"/>
      <c r="B9" s="892"/>
      <c r="C9" s="892"/>
      <c r="D9" s="892"/>
      <c r="E9" s="892"/>
    </row>
    <row r="10" spans="1:10">
      <c r="A10" s="894"/>
      <c r="B10" s="895" t="s">
        <v>3565</v>
      </c>
      <c r="C10" s="895" t="s">
        <v>4875</v>
      </c>
      <c r="D10" s="895" t="s">
        <v>4876</v>
      </c>
      <c r="E10" s="895" t="s">
        <v>3567</v>
      </c>
    </row>
    <row r="11" spans="1:10">
      <c r="A11" s="892"/>
      <c r="B11" s="896" t="s">
        <v>3568</v>
      </c>
      <c r="C11" s="892">
        <v>40145480</v>
      </c>
      <c r="D11" s="892">
        <v>0</v>
      </c>
      <c r="E11" s="892">
        <f>C11+D11</f>
        <v>40145480</v>
      </c>
    </row>
    <row r="12" spans="1:10">
      <c r="A12" s="892"/>
      <c r="B12" s="896" t="s">
        <v>3569</v>
      </c>
      <c r="C12" s="892">
        <v>39100000</v>
      </c>
      <c r="D12" s="892">
        <v>560000</v>
      </c>
      <c r="E12" s="892">
        <f t="shared" ref="E12:E22" si="0">C12+D12</f>
        <v>39660000</v>
      </c>
    </row>
    <row r="13" spans="1:10">
      <c r="A13" s="892"/>
      <c r="B13" s="896" t="s">
        <v>3570</v>
      </c>
      <c r="C13" s="892">
        <v>39300000</v>
      </c>
      <c r="D13" s="892">
        <v>791250</v>
      </c>
      <c r="E13" s="892">
        <f t="shared" si="0"/>
        <v>40091250</v>
      </c>
    </row>
    <row r="14" spans="1:10">
      <c r="A14" s="892"/>
      <c r="B14" s="896" t="s">
        <v>3571</v>
      </c>
      <c r="C14" s="892">
        <v>40300000</v>
      </c>
      <c r="D14" s="892">
        <v>346870</v>
      </c>
      <c r="E14" s="892">
        <f t="shared" si="0"/>
        <v>40646870</v>
      </c>
    </row>
    <row r="15" spans="1:10">
      <c r="A15" s="892"/>
      <c r="B15" s="896" t="s">
        <v>3572</v>
      </c>
      <c r="C15" s="892">
        <v>40300000</v>
      </c>
      <c r="D15" s="892">
        <v>891870</v>
      </c>
      <c r="E15" s="892">
        <f t="shared" si="0"/>
        <v>41191870</v>
      </c>
    </row>
    <row r="16" spans="1:10">
      <c r="A16" s="897"/>
      <c r="B16" s="896" t="s">
        <v>3573</v>
      </c>
      <c r="C16" s="892">
        <v>40300000</v>
      </c>
      <c r="D16" s="892">
        <v>470000</v>
      </c>
      <c r="E16" s="892">
        <f t="shared" si="0"/>
        <v>40770000</v>
      </c>
    </row>
    <row r="17" spans="1:10">
      <c r="A17" s="897"/>
      <c r="B17" s="896" t="s">
        <v>3574</v>
      </c>
      <c r="C17" s="892">
        <v>37900000</v>
      </c>
      <c r="D17" s="892">
        <v>2097220</v>
      </c>
      <c r="E17" s="892">
        <f t="shared" si="0"/>
        <v>39997220</v>
      </c>
    </row>
    <row r="18" spans="1:10">
      <c r="A18" s="897"/>
      <c r="B18" s="896" t="s">
        <v>3575</v>
      </c>
      <c r="C18" s="892">
        <v>40600000</v>
      </c>
      <c r="D18" s="892">
        <v>0</v>
      </c>
      <c r="E18" s="892">
        <f t="shared" si="0"/>
        <v>40600000</v>
      </c>
    </row>
    <row r="19" spans="1:10">
      <c r="A19" s="897"/>
      <c r="B19" s="896" t="s">
        <v>3576</v>
      </c>
      <c r="C19" s="892">
        <v>41860000</v>
      </c>
      <c r="D19" s="892">
        <v>2055310</v>
      </c>
      <c r="E19" s="892">
        <f t="shared" si="0"/>
        <v>43915310</v>
      </c>
    </row>
    <row r="20" spans="1:10">
      <c r="A20" s="897"/>
      <c r="B20" s="896" t="s">
        <v>3577</v>
      </c>
      <c r="C20" s="892">
        <v>41400000</v>
      </c>
      <c r="D20" s="892">
        <v>1070000</v>
      </c>
      <c r="E20" s="892">
        <f t="shared" si="0"/>
        <v>42470000</v>
      </c>
    </row>
    <row r="21" spans="1:10">
      <c r="A21" s="897"/>
      <c r="B21" s="896" t="s">
        <v>3578</v>
      </c>
      <c r="C21" s="892">
        <v>40280000</v>
      </c>
      <c r="D21" s="892">
        <v>225000</v>
      </c>
      <c r="E21" s="892">
        <f t="shared" si="0"/>
        <v>40505000</v>
      </c>
    </row>
    <row r="22" spans="1:10">
      <c r="A22" s="897"/>
      <c r="B22" s="896" t="s">
        <v>3579</v>
      </c>
      <c r="C22" s="892">
        <v>39990320</v>
      </c>
      <c r="D22" s="892">
        <v>635000</v>
      </c>
      <c r="E22" s="892">
        <f t="shared" si="0"/>
        <v>40625320</v>
      </c>
    </row>
    <row r="23" spans="1:10" ht="17.25" thickBot="1">
      <c r="A23" s="892"/>
      <c r="B23" s="898"/>
      <c r="C23" s="898">
        <f>SUM(C11:C22)</f>
        <v>481475800</v>
      </c>
      <c r="D23" s="898">
        <f>SUM(D11:D22)</f>
        <v>9142520</v>
      </c>
      <c r="E23" s="898">
        <f>SUM(E11:E22)</f>
        <v>490618320</v>
      </c>
    </row>
    <row r="24" spans="1:10" ht="17.25" thickTop="1"/>
    <row r="25" spans="1:10">
      <c r="B25" s="892" t="s">
        <v>4873</v>
      </c>
      <c r="C25" s="896"/>
      <c r="D25" s="892"/>
      <c r="E25" s="892"/>
      <c r="F25" s="892"/>
      <c r="G25" s="892"/>
      <c r="H25" s="892"/>
    </row>
    <row r="26" spans="1:10">
      <c r="B26" s="892"/>
      <c r="C26" s="896"/>
      <c r="D26" s="892"/>
      <c r="E26" s="892"/>
      <c r="F26" s="892"/>
      <c r="G26" s="892"/>
      <c r="H26" s="892"/>
    </row>
    <row r="27" spans="1:10">
      <c r="B27" s="899" t="s">
        <v>3580</v>
      </c>
      <c r="C27" s="899" t="s">
        <v>4872</v>
      </c>
      <c r="D27" s="992" t="s">
        <v>4878</v>
      </c>
      <c r="E27" s="900" t="s">
        <v>3566</v>
      </c>
      <c r="F27" s="900" t="s">
        <v>4877</v>
      </c>
      <c r="G27" s="900" t="s">
        <v>3581</v>
      </c>
      <c r="H27" s="900" t="s">
        <v>3582</v>
      </c>
      <c r="I27" s="900" t="s">
        <v>3583</v>
      </c>
      <c r="J27" s="901"/>
    </row>
    <row r="28" spans="1:10">
      <c r="B28" s="896" t="s">
        <v>3584</v>
      </c>
      <c r="C28" s="892">
        <f>[27]Sheet1!$F$27001</f>
        <v>3650000</v>
      </c>
      <c r="D28" s="892">
        <v>0</v>
      </c>
      <c r="E28" s="902">
        <f>[27]Sheet1!$F$27522</f>
        <v>36495480</v>
      </c>
      <c r="F28" s="902">
        <v>0</v>
      </c>
      <c r="G28" s="902">
        <f>C28+D28+E28+F28</f>
        <v>40145480</v>
      </c>
      <c r="H28" s="902">
        <f t="shared" ref="H28:H39" si="1">G28-E11</f>
        <v>0</v>
      </c>
      <c r="I28" s="903"/>
      <c r="J28" s="901"/>
    </row>
    <row r="29" spans="1:10">
      <c r="B29" s="896" t="s">
        <v>3569</v>
      </c>
      <c r="C29" s="892">
        <f>[27]Sheet1!$F$27005</f>
        <v>1400000</v>
      </c>
      <c r="D29" s="892">
        <v>0</v>
      </c>
      <c r="E29" s="902">
        <f>[27]Sheet1!$F$27527</f>
        <v>37700000</v>
      </c>
      <c r="F29" s="902">
        <f>[27]Sheet1!$F$27779</f>
        <v>560000</v>
      </c>
      <c r="G29" s="902">
        <f t="shared" ref="G29:G39" si="2">C29+D29+E29+F29</f>
        <v>39660000</v>
      </c>
      <c r="H29" s="902">
        <f t="shared" si="1"/>
        <v>0</v>
      </c>
      <c r="I29" s="903"/>
      <c r="J29" s="901"/>
    </row>
    <row r="30" spans="1:10">
      <c r="B30" s="896" t="s">
        <v>3570</v>
      </c>
      <c r="C30" s="892">
        <f>[27]Sheet1!$F$27012</f>
        <v>30481610</v>
      </c>
      <c r="D30" s="892">
        <f>400000+391250</f>
        <v>791250</v>
      </c>
      <c r="E30" s="902">
        <f>[27]Sheet1!$F$27535</f>
        <v>8818390</v>
      </c>
      <c r="F30" s="902">
        <v>0</v>
      </c>
      <c r="G30" s="902">
        <f t="shared" si="2"/>
        <v>40091250</v>
      </c>
      <c r="H30" s="902">
        <f t="shared" si="1"/>
        <v>0</v>
      </c>
      <c r="I30" s="903"/>
      <c r="J30" s="901"/>
    </row>
    <row r="31" spans="1:10">
      <c r="B31" s="896" t="s">
        <v>3571</v>
      </c>
      <c r="C31" s="892">
        <f>[27]Sheet1!$F$27020</f>
        <v>14456870</v>
      </c>
      <c r="D31" s="892">
        <v>0</v>
      </c>
      <c r="E31" s="902">
        <f>[27]Sheet1!$F$27544</f>
        <v>26190000</v>
      </c>
      <c r="F31" s="902">
        <v>0</v>
      </c>
      <c r="G31" s="902">
        <f t="shared" si="2"/>
        <v>40646870</v>
      </c>
      <c r="H31" s="902">
        <f t="shared" si="1"/>
        <v>0</v>
      </c>
      <c r="I31" s="903"/>
      <c r="J31" s="901"/>
    </row>
    <row r="32" spans="1:10">
      <c r="B32" s="896" t="s">
        <v>3572</v>
      </c>
      <c r="C32" s="892">
        <f>[27]Sheet1!$F$27029</f>
        <v>12186260</v>
      </c>
      <c r="D32" s="892">
        <f>750000</f>
        <v>750000</v>
      </c>
      <c r="E32" s="902">
        <f>[27]Sheet1!$F$27554</f>
        <v>28255610</v>
      </c>
      <c r="F32" s="902">
        <v>0</v>
      </c>
      <c r="G32" s="902">
        <f t="shared" si="2"/>
        <v>41191870</v>
      </c>
      <c r="H32" s="902">
        <f t="shared" si="1"/>
        <v>0</v>
      </c>
      <c r="I32" s="903"/>
      <c r="J32" s="901"/>
    </row>
    <row r="33" spans="1:10">
      <c r="B33" s="896" t="s">
        <v>3573</v>
      </c>
      <c r="C33" s="892">
        <f>[27]Sheet1!$F$27040</f>
        <v>8760000</v>
      </c>
      <c r="D33" s="892">
        <f>430000+40000</f>
        <v>470000</v>
      </c>
      <c r="E33" s="902">
        <f>[27]Sheet1!$F$27577</f>
        <v>31540000</v>
      </c>
      <c r="F33" s="902">
        <v>0</v>
      </c>
      <c r="G33" s="902">
        <f t="shared" si="2"/>
        <v>40770000</v>
      </c>
      <c r="H33" s="902">
        <f t="shared" si="1"/>
        <v>0</v>
      </c>
      <c r="I33" s="903"/>
      <c r="J33" s="901"/>
    </row>
    <row r="34" spans="1:10">
      <c r="B34" s="896" t="s">
        <v>3574</v>
      </c>
      <c r="C34" s="892">
        <f>[27]Sheet1!$F$27061</f>
        <v>18770000</v>
      </c>
      <c r="D34" s="892">
        <v>1257220</v>
      </c>
      <c r="E34" s="902">
        <f>[27]Sheet1!$F$27589</f>
        <v>19970000</v>
      </c>
      <c r="F34" s="902">
        <v>0</v>
      </c>
      <c r="G34" s="902">
        <f t="shared" si="2"/>
        <v>39997220</v>
      </c>
      <c r="H34" s="902">
        <f t="shared" si="1"/>
        <v>0</v>
      </c>
      <c r="I34" s="903"/>
      <c r="J34" s="901"/>
    </row>
    <row r="35" spans="1:10">
      <c r="B35" s="896" t="s">
        <v>3575</v>
      </c>
      <c r="C35" s="892">
        <f>[27]Sheet1!$F$27068</f>
        <v>7691250</v>
      </c>
      <c r="D35" s="892">
        <v>0</v>
      </c>
      <c r="E35" s="902">
        <f>[27]Sheet1!$F$27598</f>
        <v>32908750</v>
      </c>
      <c r="F35" s="902">
        <v>0</v>
      </c>
      <c r="G35" s="902">
        <f t="shared" si="2"/>
        <v>40600000</v>
      </c>
      <c r="H35" s="902">
        <f t="shared" si="1"/>
        <v>0</v>
      </c>
      <c r="I35" s="903"/>
      <c r="J35" s="901"/>
    </row>
    <row r="36" spans="1:10">
      <c r="B36" s="896" t="s">
        <v>3576</v>
      </c>
      <c r="C36" s="892">
        <f>[27]Sheet1!$F$27076</f>
        <v>14098750</v>
      </c>
      <c r="D36" s="892">
        <f>1695310+360000</f>
        <v>2055310</v>
      </c>
      <c r="E36" s="902">
        <f>[27]Sheet1!$F$27608</f>
        <v>27761250</v>
      </c>
      <c r="F36" s="902">
        <v>0</v>
      </c>
      <c r="G36" s="902">
        <f t="shared" si="2"/>
        <v>43915310</v>
      </c>
      <c r="H36" s="902">
        <f t="shared" si="1"/>
        <v>0</v>
      </c>
      <c r="I36" s="903"/>
      <c r="J36" s="901"/>
    </row>
    <row r="37" spans="1:10">
      <c r="B37" s="896" t="s">
        <v>3577</v>
      </c>
      <c r="C37" s="892">
        <f>[27]Sheet1!$F$27085</f>
        <v>12147400</v>
      </c>
      <c r="D37" s="892">
        <f>800000+270000</f>
        <v>1070000</v>
      </c>
      <c r="E37" s="902">
        <f>[27]Sheet1!$F$27628</f>
        <v>29252600</v>
      </c>
      <c r="F37" s="902">
        <v>0</v>
      </c>
      <c r="G37" s="902">
        <f t="shared" si="2"/>
        <v>42470000</v>
      </c>
      <c r="H37" s="902">
        <f t="shared" si="1"/>
        <v>0</v>
      </c>
      <c r="I37" s="903"/>
      <c r="J37" s="901"/>
    </row>
    <row r="38" spans="1:10">
      <c r="B38" s="904" t="s">
        <v>3578</v>
      </c>
      <c r="C38" s="892">
        <f>[27]Sheet1!$F$27108</f>
        <v>18645000</v>
      </c>
      <c r="D38" s="892">
        <f>225000</f>
        <v>225000</v>
      </c>
      <c r="E38" s="902">
        <f>[27]Sheet1!$F$27640</f>
        <v>25235000</v>
      </c>
      <c r="F38" s="902">
        <v>0</v>
      </c>
      <c r="G38" s="902">
        <f t="shared" si="2"/>
        <v>44105000</v>
      </c>
      <c r="H38" s="902">
        <f t="shared" si="1"/>
        <v>3600000</v>
      </c>
      <c r="I38" s="903" t="s">
        <v>4879</v>
      </c>
      <c r="J38" s="905"/>
    </row>
    <row r="39" spans="1:10">
      <c r="B39" s="896" t="s">
        <v>3579</v>
      </c>
      <c r="C39" s="892">
        <f>[27]Sheet1!$F$27127</f>
        <v>15630260</v>
      </c>
      <c r="D39" s="892">
        <f>400000+135000</f>
        <v>535000</v>
      </c>
      <c r="E39" s="906">
        <f>[27]Sheet1!$F$27657</f>
        <v>28275060</v>
      </c>
      <c r="F39" s="902">
        <f>[27]Sheet1!$F$27782</f>
        <v>100000</v>
      </c>
      <c r="G39" s="902">
        <f t="shared" si="2"/>
        <v>44540320</v>
      </c>
      <c r="H39" s="902">
        <f t="shared" si="1"/>
        <v>3915000</v>
      </c>
      <c r="I39" s="903" t="s">
        <v>4879</v>
      </c>
      <c r="J39" s="901"/>
    </row>
    <row r="40" spans="1:10" ht="17.25" thickBot="1">
      <c r="B40" s="907" t="s">
        <v>3585</v>
      </c>
      <c r="C40" s="907">
        <f>SUM(C28:C39)</f>
        <v>157917400</v>
      </c>
      <c r="D40" s="907"/>
      <c r="E40" s="907">
        <f>SUM(E28:E39)</f>
        <v>332402140</v>
      </c>
      <c r="F40" s="907">
        <f>SUM(F28:F39)</f>
        <v>660000</v>
      </c>
      <c r="G40" s="908">
        <f>SUM(G28:G39)</f>
        <v>498133320</v>
      </c>
      <c r="H40" s="908">
        <f>SUM(H28:H39)</f>
        <v>7515000</v>
      </c>
      <c r="I40" s="908"/>
      <c r="J40" s="901"/>
    </row>
    <row r="41" spans="1:10" ht="17.25" thickTop="1">
      <c r="B41" s="892"/>
      <c r="C41" s="896"/>
      <c r="D41" s="892"/>
      <c r="E41" s="892"/>
      <c r="F41" s="892"/>
      <c r="G41" s="909"/>
      <c r="H41" s="892"/>
    </row>
    <row r="42" spans="1:10">
      <c r="A42" s="891" t="s">
        <v>3586</v>
      </c>
      <c r="B42" s="892"/>
      <c r="C42" s="910"/>
    </row>
    <row r="43" spans="1:10">
      <c r="A43" s="892"/>
      <c r="B43" s="911"/>
      <c r="C43" s="892"/>
    </row>
    <row r="44" spans="1:10">
      <c r="A44" s="892"/>
      <c r="B44" s="912" t="s">
        <v>3587</v>
      </c>
      <c r="C44" s="892"/>
    </row>
    <row r="45" spans="1:10">
      <c r="A45" s="892"/>
      <c r="B45" s="912" t="s">
        <v>3588</v>
      </c>
      <c r="C45" s="913"/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2:L110"/>
  <sheetViews>
    <sheetView zoomScale="85" zoomScaleNormal="85" workbookViewId="0">
      <pane xSplit="3" ySplit="4" topLeftCell="D5" activePane="bottomRight" state="frozen"/>
      <selection activeCell="F6" sqref="F6"/>
      <selection pane="topRight" activeCell="F6" sqref="F6"/>
      <selection pane="bottomLeft" activeCell="F6" sqref="F6"/>
      <selection pane="bottomRight" activeCell="C15" sqref="C15"/>
    </sheetView>
  </sheetViews>
  <sheetFormatPr defaultRowHeight="15.6" customHeight="1"/>
  <cols>
    <col min="1" max="1" width="5.625" style="318" customWidth="1"/>
    <col min="2" max="2" width="32.625" style="318" bestFit="1" customWidth="1"/>
    <col min="3" max="3" width="14.75" style="318" customWidth="1"/>
    <col min="4" max="4" width="5.375" style="318" customWidth="1"/>
    <col min="5" max="5" width="22" style="318" bestFit="1" customWidth="1"/>
    <col min="6" max="6" width="13.5" style="318" customWidth="1"/>
    <col min="7" max="7" width="1" style="318" customWidth="1"/>
    <col min="8" max="8" width="4.625" style="318" customWidth="1"/>
    <col min="9" max="9" width="22" style="318" bestFit="1" customWidth="1"/>
    <col min="10" max="10" width="13.375" style="318" customWidth="1"/>
    <col min="11" max="11" width="13.75" style="318" customWidth="1"/>
    <col min="12" max="12" width="12.75" style="319" bestFit="1" customWidth="1"/>
    <col min="13" max="13" width="11.75" style="318" bestFit="1" customWidth="1"/>
    <col min="14" max="257" width="9" style="318"/>
    <col min="258" max="258" width="14.125" style="318" customWidth="1"/>
    <col min="259" max="259" width="14.75" style="318" customWidth="1"/>
    <col min="260" max="260" width="5.375" style="318" customWidth="1"/>
    <col min="261" max="261" width="22" style="318" bestFit="1" customWidth="1"/>
    <col min="262" max="262" width="13.5" style="318" customWidth="1"/>
    <col min="263" max="263" width="1" style="318" customWidth="1"/>
    <col min="264" max="264" width="4.625" style="318" customWidth="1"/>
    <col min="265" max="265" width="22" style="318" bestFit="1" customWidth="1"/>
    <col min="266" max="266" width="13.375" style="318" customWidth="1"/>
    <col min="267" max="267" width="13.75" style="318" customWidth="1"/>
    <col min="268" max="268" width="12.75" style="318" bestFit="1" customWidth="1"/>
    <col min="269" max="269" width="11.75" style="318" bestFit="1" customWidth="1"/>
    <col min="270" max="513" width="9" style="318"/>
    <col min="514" max="514" width="14.125" style="318" customWidth="1"/>
    <col min="515" max="515" width="14.75" style="318" customWidth="1"/>
    <col min="516" max="516" width="5.375" style="318" customWidth="1"/>
    <col min="517" max="517" width="22" style="318" bestFit="1" customWidth="1"/>
    <col min="518" max="518" width="13.5" style="318" customWidth="1"/>
    <col min="519" max="519" width="1" style="318" customWidth="1"/>
    <col min="520" max="520" width="4.625" style="318" customWidth="1"/>
    <col min="521" max="521" width="22" style="318" bestFit="1" customWidth="1"/>
    <col min="522" max="522" width="13.375" style="318" customWidth="1"/>
    <col min="523" max="523" width="13.75" style="318" customWidth="1"/>
    <col min="524" max="524" width="12.75" style="318" bestFit="1" customWidth="1"/>
    <col min="525" max="525" width="11.75" style="318" bestFit="1" customWidth="1"/>
    <col min="526" max="769" width="9" style="318"/>
    <col min="770" max="770" width="14.125" style="318" customWidth="1"/>
    <col min="771" max="771" width="14.75" style="318" customWidth="1"/>
    <col min="772" max="772" width="5.375" style="318" customWidth="1"/>
    <col min="773" max="773" width="22" style="318" bestFit="1" customWidth="1"/>
    <col min="774" max="774" width="13.5" style="318" customWidth="1"/>
    <col min="775" max="775" width="1" style="318" customWidth="1"/>
    <col min="776" max="776" width="4.625" style="318" customWidth="1"/>
    <col min="777" max="777" width="22" style="318" bestFit="1" customWidth="1"/>
    <col min="778" max="778" width="13.375" style="318" customWidth="1"/>
    <col min="779" max="779" width="13.75" style="318" customWidth="1"/>
    <col min="780" max="780" width="12.75" style="318" bestFit="1" customWidth="1"/>
    <col min="781" max="781" width="11.75" style="318" bestFit="1" customWidth="1"/>
    <col min="782" max="1025" width="9" style="318"/>
    <col min="1026" max="1026" width="14.125" style="318" customWidth="1"/>
    <col min="1027" max="1027" width="14.75" style="318" customWidth="1"/>
    <col min="1028" max="1028" width="5.375" style="318" customWidth="1"/>
    <col min="1029" max="1029" width="22" style="318" bestFit="1" customWidth="1"/>
    <col min="1030" max="1030" width="13.5" style="318" customWidth="1"/>
    <col min="1031" max="1031" width="1" style="318" customWidth="1"/>
    <col min="1032" max="1032" width="4.625" style="318" customWidth="1"/>
    <col min="1033" max="1033" width="22" style="318" bestFit="1" customWidth="1"/>
    <col min="1034" max="1034" width="13.375" style="318" customWidth="1"/>
    <col min="1035" max="1035" width="13.75" style="318" customWidth="1"/>
    <col min="1036" max="1036" width="12.75" style="318" bestFit="1" customWidth="1"/>
    <col min="1037" max="1037" width="11.75" style="318" bestFit="1" customWidth="1"/>
    <col min="1038" max="1281" width="9" style="318"/>
    <col min="1282" max="1282" width="14.125" style="318" customWidth="1"/>
    <col min="1283" max="1283" width="14.75" style="318" customWidth="1"/>
    <col min="1284" max="1284" width="5.375" style="318" customWidth="1"/>
    <col min="1285" max="1285" width="22" style="318" bestFit="1" customWidth="1"/>
    <col min="1286" max="1286" width="13.5" style="318" customWidth="1"/>
    <col min="1287" max="1287" width="1" style="318" customWidth="1"/>
    <col min="1288" max="1288" width="4.625" style="318" customWidth="1"/>
    <col min="1289" max="1289" width="22" style="318" bestFit="1" customWidth="1"/>
    <col min="1290" max="1290" width="13.375" style="318" customWidth="1"/>
    <col min="1291" max="1291" width="13.75" style="318" customWidth="1"/>
    <col min="1292" max="1292" width="12.75" style="318" bestFit="1" customWidth="1"/>
    <col min="1293" max="1293" width="11.75" style="318" bestFit="1" customWidth="1"/>
    <col min="1294" max="1537" width="9" style="318"/>
    <col min="1538" max="1538" width="14.125" style="318" customWidth="1"/>
    <col min="1539" max="1539" width="14.75" style="318" customWidth="1"/>
    <col min="1540" max="1540" width="5.375" style="318" customWidth="1"/>
    <col min="1541" max="1541" width="22" style="318" bestFit="1" customWidth="1"/>
    <col min="1542" max="1542" width="13.5" style="318" customWidth="1"/>
    <col min="1543" max="1543" width="1" style="318" customWidth="1"/>
    <col min="1544" max="1544" width="4.625" style="318" customWidth="1"/>
    <col min="1545" max="1545" width="22" style="318" bestFit="1" customWidth="1"/>
    <col min="1546" max="1546" width="13.375" style="318" customWidth="1"/>
    <col min="1547" max="1547" width="13.75" style="318" customWidth="1"/>
    <col min="1548" max="1548" width="12.75" style="318" bestFit="1" customWidth="1"/>
    <col min="1549" max="1549" width="11.75" style="318" bestFit="1" customWidth="1"/>
    <col min="1550" max="1793" width="9" style="318"/>
    <col min="1794" max="1794" width="14.125" style="318" customWidth="1"/>
    <col min="1795" max="1795" width="14.75" style="318" customWidth="1"/>
    <col min="1796" max="1796" width="5.375" style="318" customWidth="1"/>
    <col min="1797" max="1797" width="22" style="318" bestFit="1" customWidth="1"/>
    <col min="1798" max="1798" width="13.5" style="318" customWidth="1"/>
    <col min="1799" max="1799" width="1" style="318" customWidth="1"/>
    <col min="1800" max="1800" width="4.625" style="318" customWidth="1"/>
    <col min="1801" max="1801" width="22" style="318" bestFit="1" customWidth="1"/>
    <col min="1802" max="1802" width="13.375" style="318" customWidth="1"/>
    <col min="1803" max="1803" width="13.75" style="318" customWidth="1"/>
    <col min="1804" max="1804" width="12.75" style="318" bestFit="1" customWidth="1"/>
    <col min="1805" max="1805" width="11.75" style="318" bestFit="1" customWidth="1"/>
    <col min="1806" max="2049" width="9" style="318"/>
    <col min="2050" max="2050" width="14.125" style="318" customWidth="1"/>
    <col min="2051" max="2051" width="14.75" style="318" customWidth="1"/>
    <col min="2052" max="2052" width="5.375" style="318" customWidth="1"/>
    <col min="2053" max="2053" width="22" style="318" bestFit="1" customWidth="1"/>
    <col min="2054" max="2054" width="13.5" style="318" customWidth="1"/>
    <col min="2055" max="2055" width="1" style="318" customWidth="1"/>
    <col min="2056" max="2056" width="4.625" style="318" customWidth="1"/>
    <col min="2057" max="2057" width="22" style="318" bestFit="1" customWidth="1"/>
    <col min="2058" max="2058" width="13.375" style="318" customWidth="1"/>
    <col min="2059" max="2059" width="13.75" style="318" customWidth="1"/>
    <col min="2060" max="2060" width="12.75" style="318" bestFit="1" customWidth="1"/>
    <col min="2061" max="2061" width="11.75" style="318" bestFit="1" customWidth="1"/>
    <col min="2062" max="2305" width="9" style="318"/>
    <col min="2306" max="2306" width="14.125" style="318" customWidth="1"/>
    <col min="2307" max="2307" width="14.75" style="318" customWidth="1"/>
    <col min="2308" max="2308" width="5.375" style="318" customWidth="1"/>
    <col min="2309" max="2309" width="22" style="318" bestFit="1" customWidth="1"/>
    <col min="2310" max="2310" width="13.5" style="318" customWidth="1"/>
    <col min="2311" max="2311" width="1" style="318" customWidth="1"/>
    <col min="2312" max="2312" width="4.625" style="318" customWidth="1"/>
    <col min="2313" max="2313" width="22" style="318" bestFit="1" customWidth="1"/>
    <col min="2314" max="2314" width="13.375" style="318" customWidth="1"/>
    <col min="2315" max="2315" width="13.75" style="318" customWidth="1"/>
    <col min="2316" max="2316" width="12.75" style="318" bestFit="1" customWidth="1"/>
    <col min="2317" max="2317" width="11.75" style="318" bestFit="1" customWidth="1"/>
    <col min="2318" max="2561" width="9" style="318"/>
    <col min="2562" max="2562" width="14.125" style="318" customWidth="1"/>
    <col min="2563" max="2563" width="14.75" style="318" customWidth="1"/>
    <col min="2564" max="2564" width="5.375" style="318" customWidth="1"/>
    <col min="2565" max="2565" width="22" style="318" bestFit="1" customWidth="1"/>
    <col min="2566" max="2566" width="13.5" style="318" customWidth="1"/>
    <col min="2567" max="2567" width="1" style="318" customWidth="1"/>
    <col min="2568" max="2568" width="4.625" style="318" customWidth="1"/>
    <col min="2569" max="2569" width="22" style="318" bestFit="1" customWidth="1"/>
    <col min="2570" max="2570" width="13.375" style="318" customWidth="1"/>
    <col min="2571" max="2571" width="13.75" style="318" customWidth="1"/>
    <col min="2572" max="2572" width="12.75" style="318" bestFit="1" customWidth="1"/>
    <col min="2573" max="2573" width="11.75" style="318" bestFit="1" customWidth="1"/>
    <col min="2574" max="2817" width="9" style="318"/>
    <col min="2818" max="2818" width="14.125" style="318" customWidth="1"/>
    <col min="2819" max="2819" width="14.75" style="318" customWidth="1"/>
    <col min="2820" max="2820" width="5.375" style="318" customWidth="1"/>
    <col min="2821" max="2821" width="22" style="318" bestFit="1" customWidth="1"/>
    <col min="2822" max="2822" width="13.5" style="318" customWidth="1"/>
    <col min="2823" max="2823" width="1" style="318" customWidth="1"/>
    <col min="2824" max="2824" width="4.625" style="318" customWidth="1"/>
    <col min="2825" max="2825" width="22" style="318" bestFit="1" customWidth="1"/>
    <col min="2826" max="2826" width="13.375" style="318" customWidth="1"/>
    <col min="2827" max="2827" width="13.75" style="318" customWidth="1"/>
    <col min="2828" max="2828" width="12.75" style="318" bestFit="1" customWidth="1"/>
    <col min="2829" max="2829" width="11.75" style="318" bestFit="1" customWidth="1"/>
    <col min="2830" max="3073" width="9" style="318"/>
    <col min="3074" max="3074" width="14.125" style="318" customWidth="1"/>
    <col min="3075" max="3075" width="14.75" style="318" customWidth="1"/>
    <col min="3076" max="3076" width="5.375" style="318" customWidth="1"/>
    <col min="3077" max="3077" width="22" style="318" bestFit="1" customWidth="1"/>
    <col min="3078" max="3078" width="13.5" style="318" customWidth="1"/>
    <col min="3079" max="3079" width="1" style="318" customWidth="1"/>
    <col min="3080" max="3080" width="4.625" style="318" customWidth="1"/>
    <col min="3081" max="3081" width="22" style="318" bestFit="1" customWidth="1"/>
    <col min="3082" max="3082" width="13.375" style="318" customWidth="1"/>
    <col min="3083" max="3083" width="13.75" style="318" customWidth="1"/>
    <col min="3084" max="3084" width="12.75" style="318" bestFit="1" customWidth="1"/>
    <col min="3085" max="3085" width="11.75" style="318" bestFit="1" customWidth="1"/>
    <col min="3086" max="3329" width="9" style="318"/>
    <col min="3330" max="3330" width="14.125" style="318" customWidth="1"/>
    <col min="3331" max="3331" width="14.75" style="318" customWidth="1"/>
    <col min="3332" max="3332" width="5.375" style="318" customWidth="1"/>
    <col min="3333" max="3333" width="22" style="318" bestFit="1" customWidth="1"/>
    <col min="3334" max="3334" width="13.5" style="318" customWidth="1"/>
    <col min="3335" max="3335" width="1" style="318" customWidth="1"/>
    <col min="3336" max="3336" width="4.625" style="318" customWidth="1"/>
    <col min="3337" max="3337" width="22" style="318" bestFit="1" customWidth="1"/>
    <col min="3338" max="3338" width="13.375" style="318" customWidth="1"/>
    <col min="3339" max="3339" width="13.75" style="318" customWidth="1"/>
    <col min="3340" max="3340" width="12.75" style="318" bestFit="1" customWidth="1"/>
    <col min="3341" max="3341" width="11.75" style="318" bestFit="1" customWidth="1"/>
    <col min="3342" max="3585" width="9" style="318"/>
    <col min="3586" max="3586" width="14.125" style="318" customWidth="1"/>
    <col min="3587" max="3587" width="14.75" style="318" customWidth="1"/>
    <col min="3588" max="3588" width="5.375" style="318" customWidth="1"/>
    <col min="3589" max="3589" width="22" style="318" bestFit="1" customWidth="1"/>
    <col min="3590" max="3590" width="13.5" style="318" customWidth="1"/>
    <col min="3591" max="3591" width="1" style="318" customWidth="1"/>
    <col min="3592" max="3592" width="4.625" style="318" customWidth="1"/>
    <col min="3593" max="3593" width="22" style="318" bestFit="1" customWidth="1"/>
    <col min="3594" max="3594" width="13.375" style="318" customWidth="1"/>
    <col min="3595" max="3595" width="13.75" style="318" customWidth="1"/>
    <col min="3596" max="3596" width="12.75" style="318" bestFit="1" customWidth="1"/>
    <col min="3597" max="3597" width="11.75" style="318" bestFit="1" customWidth="1"/>
    <col min="3598" max="3841" width="9" style="318"/>
    <col min="3842" max="3842" width="14.125" style="318" customWidth="1"/>
    <col min="3843" max="3843" width="14.75" style="318" customWidth="1"/>
    <col min="3844" max="3844" width="5.375" style="318" customWidth="1"/>
    <col min="3845" max="3845" width="22" style="318" bestFit="1" customWidth="1"/>
    <col min="3846" max="3846" width="13.5" style="318" customWidth="1"/>
    <col min="3847" max="3847" width="1" style="318" customWidth="1"/>
    <col min="3848" max="3848" width="4.625" style="318" customWidth="1"/>
    <col min="3849" max="3849" width="22" style="318" bestFit="1" customWidth="1"/>
    <col min="3850" max="3850" width="13.375" style="318" customWidth="1"/>
    <col min="3851" max="3851" width="13.75" style="318" customWidth="1"/>
    <col min="3852" max="3852" width="12.75" style="318" bestFit="1" customWidth="1"/>
    <col min="3853" max="3853" width="11.75" style="318" bestFit="1" customWidth="1"/>
    <col min="3854" max="4097" width="9" style="318"/>
    <col min="4098" max="4098" width="14.125" style="318" customWidth="1"/>
    <col min="4099" max="4099" width="14.75" style="318" customWidth="1"/>
    <col min="4100" max="4100" width="5.375" style="318" customWidth="1"/>
    <col min="4101" max="4101" width="22" style="318" bestFit="1" customWidth="1"/>
    <col min="4102" max="4102" width="13.5" style="318" customWidth="1"/>
    <col min="4103" max="4103" width="1" style="318" customWidth="1"/>
    <col min="4104" max="4104" width="4.625" style="318" customWidth="1"/>
    <col min="4105" max="4105" width="22" style="318" bestFit="1" customWidth="1"/>
    <col min="4106" max="4106" width="13.375" style="318" customWidth="1"/>
    <col min="4107" max="4107" width="13.75" style="318" customWidth="1"/>
    <col min="4108" max="4108" width="12.75" style="318" bestFit="1" customWidth="1"/>
    <col min="4109" max="4109" width="11.75" style="318" bestFit="1" customWidth="1"/>
    <col min="4110" max="4353" width="9" style="318"/>
    <col min="4354" max="4354" width="14.125" style="318" customWidth="1"/>
    <col min="4355" max="4355" width="14.75" style="318" customWidth="1"/>
    <col min="4356" max="4356" width="5.375" style="318" customWidth="1"/>
    <col min="4357" max="4357" width="22" style="318" bestFit="1" customWidth="1"/>
    <col min="4358" max="4358" width="13.5" style="318" customWidth="1"/>
    <col min="4359" max="4359" width="1" style="318" customWidth="1"/>
    <col min="4360" max="4360" width="4.625" style="318" customWidth="1"/>
    <col min="4361" max="4361" width="22" style="318" bestFit="1" customWidth="1"/>
    <col min="4362" max="4362" width="13.375" style="318" customWidth="1"/>
    <col min="4363" max="4363" width="13.75" style="318" customWidth="1"/>
    <col min="4364" max="4364" width="12.75" style="318" bestFit="1" customWidth="1"/>
    <col min="4365" max="4365" width="11.75" style="318" bestFit="1" customWidth="1"/>
    <col min="4366" max="4609" width="9" style="318"/>
    <col min="4610" max="4610" width="14.125" style="318" customWidth="1"/>
    <col min="4611" max="4611" width="14.75" style="318" customWidth="1"/>
    <col min="4612" max="4612" width="5.375" style="318" customWidth="1"/>
    <col min="4613" max="4613" width="22" style="318" bestFit="1" customWidth="1"/>
    <col min="4614" max="4614" width="13.5" style="318" customWidth="1"/>
    <col min="4615" max="4615" width="1" style="318" customWidth="1"/>
    <col min="4616" max="4616" width="4.625" style="318" customWidth="1"/>
    <col min="4617" max="4617" width="22" style="318" bestFit="1" customWidth="1"/>
    <col min="4618" max="4618" width="13.375" style="318" customWidth="1"/>
    <col min="4619" max="4619" width="13.75" style="318" customWidth="1"/>
    <col min="4620" max="4620" width="12.75" style="318" bestFit="1" customWidth="1"/>
    <col min="4621" max="4621" width="11.75" style="318" bestFit="1" customWidth="1"/>
    <col min="4622" max="4865" width="9" style="318"/>
    <col min="4866" max="4866" width="14.125" style="318" customWidth="1"/>
    <col min="4867" max="4867" width="14.75" style="318" customWidth="1"/>
    <col min="4868" max="4868" width="5.375" style="318" customWidth="1"/>
    <col min="4869" max="4869" width="22" style="318" bestFit="1" customWidth="1"/>
    <col min="4870" max="4870" width="13.5" style="318" customWidth="1"/>
    <col min="4871" max="4871" width="1" style="318" customWidth="1"/>
    <col min="4872" max="4872" width="4.625" style="318" customWidth="1"/>
    <col min="4873" max="4873" width="22" style="318" bestFit="1" customWidth="1"/>
    <col min="4874" max="4874" width="13.375" style="318" customWidth="1"/>
    <col min="4875" max="4875" width="13.75" style="318" customWidth="1"/>
    <col min="4876" max="4876" width="12.75" style="318" bestFit="1" customWidth="1"/>
    <col min="4877" max="4877" width="11.75" style="318" bestFit="1" customWidth="1"/>
    <col min="4878" max="5121" width="9" style="318"/>
    <col min="5122" max="5122" width="14.125" style="318" customWidth="1"/>
    <col min="5123" max="5123" width="14.75" style="318" customWidth="1"/>
    <col min="5124" max="5124" width="5.375" style="318" customWidth="1"/>
    <col min="5125" max="5125" width="22" style="318" bestFit="1" customWidth="1"/>
    <col min="5126" max="5126" width="13.5" style="318" customWidth="1"/>
    <col min="5127" max="5127" width="1" style="318" customWidth="1"/>
    <col min="5128" max="5128" width="4.625" style="318" customWidth="1"/>
    <col min="5129" max="5129" width="22" style="318" bestFit="1" customWidth="1"/>
    <col min="5130" max="5130" width="13.375" style="318" customWidth="1"/>
    <col min="5131" max="5131" width="13.75" style="318" customWidth="1"/>
    <col min="5132" max="5132" width="12.75" style="318" bestFit="1" customWidth="1"/>
    <col min="5133" max="5133" width="11.75" style="318" bestFit="1" customWidth="1"/>
    <col min="5134" max="5377" width="9" style="318"/>
    <col min="5378" max="5378" width="14.125" style="318" customWidth="1"/>
    <col min="5379" max="5379" width="14.75" style="318" customWidth="1"/>
    <col min="5380" max="5380" width="5.375" style="318" customWidth="1"/>
    <col min="5381" max="5381" width="22" style="318" bestFit="1" customWidth="1"/>
    <col min="5382" max="5382" width="13.5" style="318" customWidth="1"/>
    <col min="5383" max="5383" width="1" style="318" customWidth="1"/>
    <col min="5384" max="5384" width="4.625" style="318" customWidth="1"/>
    <col min="5385" max="5385" width="22" style="318" bestFit="1" customWidth="1"/>
    <col min="5386" max="5386" width="13.375" style="318" customWidth="1"/>
    <col min="5387" max="5387" width="13.75" style="318" customWidth="1"/>
    <col min="5388" max="5388" width="12.75" style="318" bestFit="1" customWidth="1"/>
    <col min="5389" max="5389" width="11.75" style="318" bestFit="1" customWidth="1"/>
    <col min="5390" max="5633" width="9" style="318"/>
    <col min="5634" max="5634" width="14.125" style="318" customWidth="1"/>
    <col min="5635" max="5635" width="14.75" style="318" customWidth="1"/>
    <col min="5636" max="5636" width="5.375" style="318" customWidth="1"/>
    <col min="5637" max="5637" width="22" style="318" bestFit="1" customWidth="1"/>
    <col min="5638" max="5638" width="13.5" style="318" customWidth="1"/>
    <col min="5639" max="5639" width="1" style="318" customWidth="1"/>
    <col min="5640" max="5640" width="4.625" style="318" customWidth="1"/>
    <col min="5641" max="5641" width="22" style="318" bestFit="1" customWidth="1"/>
    <col min="5642" max="5642" width="13.375" style="318" customWidth="1"/>
    <col min="5643" max="5643" width="13.75" style="318" customWidth="1"/>
    <col min="5644" max="5644" width="12.75" style="318" bestFit="1" customWidth="1"/>
    <col min="5645" max="5645" width="11.75" style="318" bestFit="1" customWidth="1"/>
    <col min="5646" max="5889" width="9" style="318"/>
    <col min="5890" max="5890" width="14.125" style="318" customWidth="1"/>
    <col min="5891" max="5891" width="14.75" style="318" customWidth="1"/>
    <col min="5892" max="5892" width="5.375" style="318" customWidth="1"/>
    <col min="5893" max="5893" width="22" style="318" bestFit="1" customWidth="1"/>
    <col min="5894" max="5894" width="13.5" style="318" customWidth="1"/>
    <col min="5895" max="5895" width="1" style="318" customWidth="1"/>
    <col min="5896" max="5896" width="4.625" style="318" customWidth="1"/>
    <col min="5897" max="5897" width="22" style="318" bestFit="1" customWidth="1"/>
    <col min="5898" max="5898" width="13.375" style="318" customWidth="1"/>
    <col min="5899" max="5899" width="13.75" style="318" customWidth="1"/>
    <col min="5900" max="5900" width="12.75" style="318" bestFit="1" customWidth="1"/>
    <col min="5901" max="5901" width="11.75" style="318" bestFit="1" customWidth="1"/>
    <col min="5902" max="6145" width="9" style="318"/>
    <col min="6146" max="6146" width="14.125" style="318" customWidth="1"/>
    <col min="6147" max="6147" width="14.75" style="318" customWidth="1"/>
    <col min="6148" max="6148" width="5.375" style="318" customWidth="1"/>
    <col min="6149" max="6149" width="22" style="318" bestFit="1" customWidth="1"/>
    <col min="6150" max="6150" width="13.5" style="318" customWidth="1"/>
    <col min="6151" max="6151" width="1" style="318" customWidth="1"/>
    <col min="6152" max="6152" width="4.625" style="318" customWidth="1"/>
    <col min="6153" max="6153" width="22" style="318" bestFit="1" customWidth="1"/>
    <col min="6154" max="6154" width="13.375" style="318" customWidth="1"/>
    <col min="6155" max="6155" width="13.75" style="318" customWidth="1"/>
    <col min="6156" max="6156" width="12.75" style="318" bestFit="1" customWidth="1"/>
    <col min="6157" max="6157" width="11.75" style="318" bestFit="1" customWidth="1"/>
    <col min="6158" max="6401" width="9" style="318"/>
    <col min="6402" max="6402" width="14.125" style="318" customWidth="1"/>
    <col min="6403" max="6403" width="14.75" style="318" customWidth="1"/>
    <col min="6404" max="6404" width="5.375" style="318" customWidth="1"/>
    <col min="6405" max="6405" width="22" style="318" bestFit="1" customWidth="1"/>
    <col min="6406" max="6406" width="13.5" style="318" customWidth="1"/>
    <col min="6407" max="6407" width="1" style="318" customWidth="1"/>
    <col min="6408" max="6408" width="4.625" style="318" customWidth="1"/>
    <col min="6409" max="6409" width="22" style="318" bestFit="1" customWidth="1"/>
    <col min="6410" max="6410" width="13.375" style="318" customWidth="1"/>
    <col min="6411" max="6411" width="13.75" style="318" customWidth="1"/>
    <col min="6412" max="6412" width="12.75" style="318" bestFit="1" customWidth="1"/>
    <col min="6413" max="6413" width="11.75" style="318" bestFit="1" customWidth="1"/>
    <col min="6414" max="6657" width="9" style="318"/>
    <col min="6658" max="6658" width="14.125" style="318" customWidth="1"/>
    <col min="6659" max="6659" width="14.75" style="318" customWidth="1"/>
    <col min="6660" max="6660" width="5.375" style="318" customWidth="1"/>
    <col min="6661" max="6661" width="22" style="318" bestFit="1" customWidth="1"/>
    <col min="6662" max="6662" width="13.5" style="318" customWidth="1"/>
    <col min="6663" max="6663" width="1" style="318" customWidth="1"/>
    <col min="6664" max="6664" width="4.625" style="318" customWidth="1"/>
    <col min="6665" max="6665" width="22" style="318" bestFit="1" customWidth="1"/>
    <col min="6666" max="6666" width="13.375" style="318" customWidth="1"/>
    <col min="6667" max="6667" width="13.75" style="318" customWidth="1"/>
    <col min="6668" max="6668" width="12.75" style="318" bestFit="1" customWidth="1"/>
    <col min="6669" max="6669" width="11.75" style="318" bestFit="1" customWidth="1"/>
    <col min="6670" max="6913" width="9" style="318"/>
    <col min="6914" max="6914" width="14.125" style="318" customWidth="1"/>
    <col min="6915" max="6915" width="14.75" style="318" customWidth="1"/>
    <col min="6916" max="6916" width="5.375" style="318" customWidth="1"/>
    <col min="6917" max="6917" width="22" style="318" bestFit="1" customWidth="1"/>
    <col min="6918" max="6918" width="13.5" style="318" customWidth="1"/>
    <col min="6919" max="6919" width="1" style="318" customWidth="1"/>
    <col min="6920" max="6920" width="4.625" style="318" customWidth="1"/>
    <col min="6921" max="6921" width="22" style="318" bestFit="1" customWidth="1"/>
    <col min="6922" max="6922" width="13.375" style="318" customWidth="1"/>
    <col min="6923" max="6923" width="13.75" style="318" customWidth="1"/>
    <col min="6924" max="6924" width="12.75" style="318" bestFit="1" customWidth="1"/>
    <col min="6925" max="6925" width="11.75" style="318" bestFit="1" customWidth="1"/>
    <col min="6926" max="7169" width="9" style="318"/>
    <col min="7170" max="7170" width="14.125" style="318" customWidth="1"/>
    <col min="7171" max="7171" width="14.75" style="318" customWidth="1"/>
    <col min="7172" max="7172" width="5.375" style="318" customWidth="1"/>
    <col min="7173" max="7173" width="22" style="318" bestFit="1" customWidth="1"/>
    <col min="7174" max="7174" width="13.5" style="318" customWidth="1"/>
    <col min="7175" max="7175" width="1" style="318" customWidth="1"/>
    <col min="7176" max="7176" width="4.625" style="318" customWidth="1"/>
    <col min="7177" max="7177" width="22" style="318" bestFit="1" customWidth="1"/>
    <col min="7178" max="7178" width="13.375" style="318" customWidth="1"/>
    <col min="7179" max="7179" width="13.75" style="318" customWidth="1"/>
    <col min="7180" max="7180" width="12.75" style="318" bestFit="1" customWidth="1"/>
    <col min="7181" max="7181" width="11.75" style="318" bestFit="1" customWidth="1"/>
    <col min="7182" max="7425" width="9" style="318"/>
    <col min="7426" max="7426" width="14.125" style="318" customWidth="1"/>
    <col min="7427" max="7427" width="14.75" style="318" customWidth="1"/>
    <col min="7428" max="7428" width="5.375" style="318" customWidth="1"/>
    <col min="7429" max="7429" width="22" style="318" bestFit="1" customWidth="1"/>
    <col min="7430" max="7430" width="13.5" style="318" customWidth="1"/>
    <col min="7431" max="7431" width="1" style="318" customWidth="1"/>
    <col min="7432" max="7432" width="4.625" style="318" customWidth="1"/>
    <col min="7433" max="7433" width="22" style="318" bestFit="1" customWidth="1"/>
    <col min="7434" max="7434" width="13.375" style="318" customWidth="1"/>
    <col min="7435" max="7435" width="13.75" style="318" customWidth="1"/>
    <col min="7436" max="7436" width="12.75" style="318" bestFit="1" customWidth="1"/>
    <col min="7437" max="7437" width="11.75" style="318" bestFit="1" customWidth="1"/>
    <col min="7438" max="7681" width="9" style="318"/>
    <col min="7682" max="7682" width="14.125" style="318" customWidth="1"/>
    <col min="7683" max="7683" width="14.75" style="318" customWidth="1"/>
    <col min="7684" max="7684" width="5.375" style="318" customWidth="1"/>
    <col min="7685" max="7685" width="22" style="318" bestFit="1" customWidth="1"/>
    <col min="7686" max="7686" width="13.5" style="318" customWidth="1"/>
    <col min="7687" max="7687" width="1" style="318" customWidth="1"/>
    <col min="7688" max="7688" width="4.625" style="318" customWidth="1"/>
    <col min="7689" max="7689" width="22" style="318" bestFit="1" customWidth="1"/>
    <col min="7690" max="7690" width="13.375" style="318" customWidth="1"/>
    <col min="7691" max="7691" width="13.75" style="318" customWidth="1"/>
    <col min="7692" max="7692" width="12.75" style="318" bestFit="1" customWidth="1"/>
    <col min="7693" max="7693" width="11.75" style="318" bestFit="1" customWidth="1"/>
    <col min="7694" max="7937" width="9" style="318"/>
    <col min="7938" max="7938" width="14.125" style="318" customWidth="1"/>
    <col min="7939" max="7939" width="14.75" style="318" customWidth="1"/>
    <col min="7940" max="7940" width="5.375" style="318" customWidth="1"/>
    <col min="7941" max="7941" width="22" style="318" bestFit="1" customWidth="1"/>
    <col min="7942" max="7942" width="13.5" style="318" customWidth="1"/>
    <col min="7943" max="7943" width="1" style="318" customWidth="1"/>
    <col min="7944" max="7944" width="4.625" style="318" customWidth="1"/>
    <col min="7945" max="7945" width="22" style="318" bestFit="1" customWidth="1"/>
    <col min="7946" max="7946" width="13.375" style="318" customWidth="1"/>
    <col min="7947" max="7947" width="13.75" style="318" customWidth="1"/>
    <col min="7948" max="7948" width="12.75" style="318" bestFit="1" customWidth="1"/>
    <col min="7949" max="7949" width="11.75" style="318" bestFit="1" customWidth="1"/>
    <col min="7950" max="8193" width="9" style="318"/>
    <col min="8194" max="8194" width="14.125" style="318" customWidth="1"/>
    <col min="8195" max="8195" width="14.75" style="318" customWidth="1"/>
    <col min="8196" max="8196" width="5.375" style="318" customWidth="1"/>
    <col min="8197" max="8197" width="22" style="318" bestFit="1" customWidth="1"/>
    <col min="8198" max="8198" width="13.5" style="318" customWidth="1"/>
    <col min="8199" max="8199" width="1" style="318" customWidth="1"/>
    <col min="8200" max="8200" width="4.625" style="318" customWidth="1"/>
    <col min="8201" max="8201" width="22" style="318" bestFit="1" customWidth="1"/>
    <col min="8202" max="8202" width="13.375" style="318" customWidth="1"/>
    <col min="8203" max="8203" width="13.75" style="318" customWidth="1"/>
    <col min="8204" max="8204" width="12.75" style="318" bestFit="1" customWidth="1"/>
    <col min="8205" max="8205" width="11.75" style="318" bestFit="1" customWidth="1"/>
    <col min="8206" max="8449" width="9" style="318"/>
    <col min="8450" max="8450" width="14.125" style="318" customWidth="1"/>
    <col min="8451" max="8451" width="14.75" style="318" customWidth="1"/>
    <col min="8452" max="8452" width="5.375" style="318" customWidth="1"/>
    <col min="8453" max="8453" width="22" style="318" bestFit="1" customWidth="1"/>
    <col min="8454" max="8454" width="13.5" style="318" customWidth="1"/>
    <col min="8455" max="8455" width="1" style="318" customWidth="1"/>
    <col min="8456" max="8456" width="4.625" style="318" customWidth="1"/>
    <col min="8457" max="8457" width="22" style="318" bestFit="1" customWidth="1"/>
    <col min="8458" max="8458" width="13.375" style="318" customWidth="1"/>
    <col min="8459" max="8459" width="13.75" style="318" customWidth="1"/>
    <col min="8460" max="8460" width="12.75" style="318" bestFit="1" customWidth="1"/>
    <col min="8461" max="8461" width="11.75" style="318" bestFit="1" customWidth="1"/>
    <col min="8462" max="8705" width="9" style="318"/>
    <col min="8706" max="8706" width="14.125" style="318" customWidth="1"/>
    <col min="8707" max="8707" width="14.75" style="318" customWidth="1"/>
    <col min="8708" max="8708" width="5.375" style="318" customWidth="1"/>
    <col min="8709" max="8709" width="22" style="318" bestFit="1" customWidth="1"/>
    <col min="8710" max="8710" width="13.5" style="318" customWidth="1"/>
    <col min="8711" max="8711" width="1" style="318" customWidth="1"/>
    <col min="8712" max="8712" width="4.625" style="318" customWidth="1"/>
    <col min="8713" max="8713" width="22" style="318" bestFit="1" customWidth="1"/>
    <col min="8714" max="8714" width="13.375" style="318" customWidth="1"/>
    <col min="8715" max="8715" width="13.75" style="318" customWidth="1"/>
    <col min="8716" max="8716" width="12.75" style="318" bestFit="1" customWidth="1"/>
    <col min="8717" max="8717" width="11.75" style="318" bestFit="1" customWidth="1"/>
    <col min="8718" max="8961" width="9" style="318"/>
    <col min="8962" max="8962" width="14.125" style="318" customWidth="1"/>
    <col min="8963" max="8963" width="14.75" style="318" customWidth="1"/>
    <col min="8964" max="8964" width="5.375" style="318" customWidth="1"/>
    <col min="8965" max="8965" width="22" style="318" bestFit="1" customWidth="1"/>
    <col min="8966" max="8966" width="13.5" style="318" customWidth="1"/>
    <col min="8967" max="8967" width="1" style="318" customWidth="1"/>
    <col min="8968" max="8968" width="4.625" style="318" customWidth="1"/>
    <col min="8969" max="8969" width="22" style="318" bestFit="1" customWidth="1"/>
    <col min="8970" max="8970" width="13.375" style="318" customWidth="1"/>
    <col min="8971" max="8971" width="13.75" style="318" customWidth="1"/>
    <col min="8972" max="8972" width="12.75" style="318" bestFit="1" customWidth="1"/>
    <col min="8973" max="8973" width="11.75" style="318" bestFit="1" customWidth="1"/>
    <col min="8974" max="9217" width="9" style="318"/>
    <col min="9218" max="9218" width="14.125" style="318" customWidth="1"/>
    <col min="9219" max="9219" width="14.75" style="318" customWidth="1"/>
    <col min="9220" max="9220" width="5.375" style="318" customWidth="1"/>
    <col min="9221" max="9221" width="22" style="318" bestFit="1" customWidth="1"/>
    <col min="9222" max="9222" width="13.5" style="318" customWidth="1"/>
    <col min="9223" max="9223" width="1" style="318" customWidth="1"/>
    <col min="9224" max="9224" width="4.625" style="318" customWidth="1"/>
    <col min="9225" max="9225" width="22" style="318" bestFit="1" customWidth="1"/>
    <col min="9226" max="9226" width="13.375" style="318" customWidth="1"/>
    <col min="9227" max="9227" width="13.75" style="318" customWidth="1"/>
    <col min="9228" max="9228" width="12.75" style="318" bestFit="1" customWidth="1"/>
    <col min="9229" max="9229" width="11.75" style="318" bestFit="1" customWidth="1"/>
    <col min="9230" max="9473" width="9" style="318"/>
    <col min="9474" max="9474" width="14.125" style="318" customWidth="1"/>
    <col min="9475" max="9475" width="14.75" style="318" customWidth="1"/>
    <col min="9476" max="9476" width="5.375" style="318" customWidth="1"/>
    <col min="9477" max="9477" width="22" style="318" bestFit="1" customWidth="1"/>
    <col min="9478" max="9478" width="13.5" style="318" customWidth="1"/>
    <col min="9479" max="9479" width="1" style="318" customWidth="1"/>
    <col min="9480" max="9480" width="4.625" style="318" customWidth="1"/>
    <col min="9481" max="9481" width="22" style="318" bestFit="1" customWidth="1"/>
    <col min="9482" max="9482" width="13.375" style="318" customWidth="1"/>
    <col min="9483" max="9483" width="13.75" style="318" customWidth="1"/>
    <col min="9484" max="9484" width="12.75" style="318" bestFit="1" customWidth="1"/>
    <col min="9485" max="9485" width="11.75" style="318" bestFit="1" customWidth="1"/>
    <col min="9486" max="9729" width="9" style="318"/>
    <col min="9730" max="9730" width="14.125" style="318" customWidth="1"/>
    <col min="9731" max="9731" width="14.75" style="318" customWidth="1"/>
    <col min="9732" max="9732" width="5.375" style="318" customWidth="1"/>
    <col min="9733" max="9733" width="22" style="318" bestFit="1" customWidth="1"/>
    <col min="9734" max="9734" width="13.5" style="318" customWidth="1"/>
    <col min="9735" max="9735" width="1" style="318" customWidth="1"/>
    <col min="9736" max="9736" width="4.625" style="318" customWidth="1"/>
    <col min="9737" max="9737" width="22" style="318" bestFit="1" customWidth="1"/>
    <col min="9738" max="9738" width="13.375" style="318" customWidth="1"/>
    <col min="9739" max="9739" width="13.75" style="318" customWidth="1"/>
    <col min="9740" max="9740" width="12.75" style="318" bestFit="1" customWidth="1"/>
    <col min="9741" max="9741" width="11.75" style="318" bestFit="1" customWidth="1"/>
    <col min="9742" max="9985" width="9" style="318"/>
    <col min="9986" max="9986" width="14.125" style="318" customWidth="1"/>
    <col min="9987" max="9987" width="14.75" style="318" customWidth="1"/>
    <col min="9988" max="9988" width="5.375" style="318" customWidth="1"/>
    <col min="9989" max="9989" width="22" style="318" bestFit="1" customWidth="1"/>
    <col min="9990" max="9990" width="13.5" style="318" customWidth="1"/>
    <col min="9991" max="9991" width="1" style="318" customWidth="1"/>
    <col min="9992" max="9992" width="4.625" style="318" customWidth="1"/>
    <col min="9993" max="9993" width="22" style="318" bestFit="1" customWidth="1"/>
    <col min="9994" max="9994" width="13.375" style="318" customWidth="1"/>
    <col min="9995" max="9995" width="13.75" style="318" customWidth="1"/>
    <col min="9996" max="9996" width="12.75" style="318" bestFit="1" customWidth="1"/>
    <col min="9997" max="9997" width="11.75" style="318" bestFit="1" customWidth="1"/>
    <col min="9998" max="10241" width="9" style="318"/>
    <col min="10242" max="10242" width="14.125" style="318" customWidth="1"/>
    <col min="10243" max="10243" width="14.75" style="318" customWidth="1"/>
    <col min="10244" max="10244" width="5.375" style="318" customWidth="1"/>
    <col min="10245" max="10245" width="22" style="318" bestFit="1" customWidth="1"/>
    <col min="10246" max="10246" width="13.5" style="318" customWidth="1"/>
    <col min="10247" max="10247" width="1" style="318" customWidth="1"/>
    <col min="10248" max="10248" width="4.625" style="318" customWidth="1"/>
    <col min="10249" max="10249" width="22" style="318" bestFit="1" customWidth="1"/>
    <col min="10250" max="10250" width="13.375" style="318" customWidth="1"/>
    <col min="10251" max="10251" width="13.75" style="318" customWidth="1"/>
    <col min="10252" max="10252" width="12.75" style="318" bestFit="1" customWidth="1"/>
    <col min="10253" max="10253" width="11.75" style="318" bestFit="1" customWidth="1"/>
    <col min="10254" max="10497" width="9" style="318"/>
    <col min="10498" max="10498" width="14.125" style="318" customWidth="1"/>
    <col min="10499" max="10499" width="14.75" style="318" customWidth="1"/>
    <col min="10500" max="10500" width="5.375" style="318" customWidth="1"/>
    <col min="10501" max="10501" width="22" style="318" bestFit="1" customWidth="1"/>
    <col min="10502" max="10502" width="13.5" style="318" customWidth="1"/>
    <col min="10503" max="10503" width="1" style="318" customWidth="1"/>
    <col min="10504" max="10504" width="4.625" style="318" customWidth="1"/>
    <col min="10505" max="10505" width="22" style="318" bestFit="1" customWidth="1"/>
    <col min="10506" max="10506" width="13.375" style="318" customWidth="1"/>
    <col min="10507" max="10507" width="13.75" style="318" customWidth="1"/>
    <col min="10508" max="10508" width="12.75" style="318" bestFit="1" customWidth="1"/>
    <col min="10509" max="10509" width="11.75" style="318" bestFit="1" customWidth="1"/>
    <col min="10510" max="10753" width="9" style="318"/>
    <col min="10754" max="10754" width="14.125" style="318" customWidth="1"/>
    <col min="10755" max="10755" width="14.75" style="318" customWidth="1"/>
    <col min="10756" max="10756" width="5.375" style="318" customWidth="1"/>
    <col min="10757" max="10757" width="22" style="318" bestFit="1" customWidth="1"/>
    <col min="10758" max="10758" width="13.5" style="318" customWidth="1"/>
    <col min="10759" max="10759" width="1" style="318" customWidth="1"/>
    <col min="10760" max="10760" width="4.625" style="318" customWidth="1"/>
    <col min="10761" max="10761" width="22" style="318" bestFit="1" customWidth="1"/>
    <col min="10762" max="10762" width="13.375" style="318" customWidth="1"/>
    <col min="10763" max="10763" width="13.75" style="318" customWidth="1"/>
    <col min="10764" max="10764" width="12.75" style="318" bestFit="1" customWidth="1"/>
    <col min="10765" max="10765" width="11.75" style="318" bestFit="1" customWidth="1"/>
    <col min="10766" max="11009" width="9" style="318"/>
    <col min="11010" max="11010" width="14.125" style="318" customWidth="1"/>
    <col min="11011" max="11011" width="14.75" style="318" customWidth="1"/>
    <col min="11012" max="11012" width="5.375" style="318" customWidth="1"/>
    <col min="11013" max="11013" width="22" style="318" bestFit="1" customWidth="1"/>
    <col min="11014" max="11014" width="13.5" style="318" customWidth="1"/>
    <col min="11015" max="11015" width="1" style="318" customWidth="1"/>
    <col min="11016" max="11016" width="4.625" style="318" customWidth="1"/>
    <col min="11017" max="11017" width="22" style="318" bestFit="1" customWidth="1"/>
    <col min="11018" max="11018" width="13.375" style="318" customWidth="1"/>
    <col min="11019" max="11019" width="13.75" style="318" customWidth="1"/>
    <col min="11020" max="11020" width="12.75" style="318" bestFit="1" customWidth="1"/>
    <col min="11021" max="11021" width="11.75" style="318" bestFit="1" customWidth="1"/>
    <col min="11022" max="11265" width="9" style="318"/>
    <col min="11266" max="11266" width="14.125" style="318" customWidth="1"/>
    <col min="11267" max="11267" width="14.75" style="318" customWidth="1"/>
    <col min="11268" max="11268" width="5.375" style="318" customWidth="1"/>
    <col min="11269" max="11269" width="22" style="318" bestFit="1" customWidth="1"/>
    <col min="11270" max="11270" width="13.5" style="318" customWidth="1"/>
    <col min="11271" max="11271" width="1" style="318" customWidth="1"/>
    <col min="11272" max="11272" width="4.625" style="318" customWidth="1"/>
    <col min="11273" max="11273" width="22" style="318" bestFit="1" customWidth="1"/>
    <col min="11274" max="11274" width="13.375" style="318" customWidth="1"/>
    <col min="11275" max="11275" width="13.75" style="318" customWidth="1"/>
    <col min="11276" max="11276" width="12.75" style="318" bestFit="1" customWidth="1"/>
    <col min="11277" max="11277" width="11.75" style="318" bestFit="1" customWidth="1"/>
    <col min="11278" max="11521" width="9" style="318"/>
    <col min="11522" max="11522" width="14.125" style="318" customWidth="1"/>
    <col min="11523" max="11523" width="14.75" style="318" customWidth="1"/>
    <col min="11524" max="11524" width="5.375" style="318" customWidth="1"/>
    <col min="11525" max="11525" width="22" style="318" bestFit="1" customWidth="1"/>
    <col min="11526" max="11526" width="13.5" style="318" customWidth="1"/>
    <col min="11527" max="11527" width="1" style="318" customWidth="1"/>
    <col min="11528" max="11528" width="4.625" style="318" customWidth="1"/>
    <col min="11529" max="11529" width="22" style="318" bestFit="1" customWidth="1"/>
    <col min="11530" max="11530" width="13.375" style="318" customWidth="1"/>
    <col min="11531" max="11531" width="13.75" style="318" customWidth="1"/>
    <col min="11532" max="11532" width="12.75" style="318" bestFit="1" customWidth="1"/>
    <col min="11533" max="11533" width="11.75" style="318" bestFit="1" customWidth="1"/>
    <col min="11534" max="11777" width="9" style="318"/>
    <col min="11778" max="11778" width="14.125" style="318" customWidth="1"/>
    <col min="11779" max="11779" width="14.75" style="318" customWidth="1"/>
    <col min="11780" max="11780" width="5.375" style="318" customWidth="1"/>
    <col min="11781" max="11781" width="22" style="318" bestFit="1" customWidth="1"/>
    <col min="11782" max="11782" width="13.5" style="318" customWidth="1"/>
    <col min="11783" max="11783" width="1" style="318" customWidth="1"/>
    <col min="11784" max="11784" width="4.625" style="318" customWidth="1"/>
    <col min="11785" max="11785" width="22" style="318" bestFit="1" customWidth="1"/>
    <col min="11786" max="11786" width="13.375" style="318" customWidth="1"/>
    <col min="11787" max="11787" width="13.75" style="318" customWidth="1"/>
    <col min="11788" max="11788" width="12.75" style="318" bestFit="1" customWidth="1"/>
    <col min="11789" max="11789" width="11.75" style="318" bestFit="1" customWidth="1"/>
    <col min="11790" max="12033" width="9" style="318"/>
    <col min="12034" max="12034" width="14.125" style="318" customWidth="1"/>
    <col min="12035" max="12035" width="14.75" style="318" customWidth="1"/>
    <col min="12036" max="12036" width="5.375" style="318" customWidth="1"/>
    <col min="12037" max="12037" width="22" style="318" bestFit="1" customWidth="1"/>
    <col min="12038" max="12038" width="13.5" style="318" customWidth="1"/>
    <col min="12039" max="12039" width="1" style="318" customWidth="1"/>
    <col min="12040" max="12040" width="4.625" style="318" customWidth="1"/>
    <col min="12041" max="12041" width="22" style="318" bestFit="1" customWidth="1"/>
    <col min="12042" max="12042" width="13.375" style="318" customWidth="1"/>
    <col min="12043" max="12043" width="13.75" style="318" customWidth="1"/>
    <col min="12044" max="12044" width="12.75" style="318" bestFit="1" customWidth="1"/>
    <col min="12045" max="12045" width="11.75" style="318" bestFit="1" customWidth="1"/>
    <col min="12046" max="12289" width="9" style="318"/>
    <col min="12290" max="12290" width="14.125" style="318" customWidth="1"/>
    <col min="12291" max="12291" width="14.75" style="318" customWidth="1"/>
    <col min="12292" max="12292" width="5.375" style="318" customWidth="1"/>
    <col min="12293" max="12293" width="22" style="318" bestFit="1" customWidth="1"/>
    <col min="12294" max="12294" width="13.5" style="318" customWidth="1"/>
    <col min="12295" max="12295" width="1" style="318" customWidth="1"/>
    <col min="12296" max="12296" width="4.625" style="318" customWidth="1"/>
    <col min="12297" max="12297" width="22" style="318" bestFit="1" customWidth="1"/>
    <col min="12298" max="12298" width="13.375" style="318" customWidth="1"/>
    <col min="12299" max="12299" width="13.75" style="318" customWidth="1"/>
    <col min="12300" max="12300" width="12.75" style="318" bestFit="1" customWidth="1"/>
    <col min="12301" max="12301" width="11.75" style="318" bestFit="1" customWidth="1"/>
    <col min="12302" max="12545" width="9" style="318"/>
    <col min="12546" max="12546" width="14.125" style="318" customWidth="1"/>
    <col min="12547" max="12547" width="14.75" style="318" customWidth="1"/>
    <col min="12548" max="12548" width="5.375" style="318" customWidth="1"/>
    <col min="12549" max="12549" width="22" style="318" bestFit="1" customWidth="1"/>
    <col min="12550" max="12550" width="13.5" style="318" customWidth="1"/>
    <col min="12551" max="12551" width="1" style="318" customWidth="1"/>
    <col min="12552" max="12552" width="4.625" style="318" customWidth="1"/>
    <col min="12553" max="12553" width="22" style="318" bestFit="1" customWidth="1"/>
    <col min="12554" max="12554" width="13.375" style="318" customWidth="1"/>
    <col min="12555" max="12555" width="13.75" style="318" customWidth="1"/>
    <col min="12556" max="12556" width="12.75" style="318" bestFit="1" customWidth="1"/>
    <col min="12557" max="12557" width="11.75" style="318" bestFit="1" customWidth="1"/>
    <col min="12558" max="12801" width="9" style="318"/>
    <col min="12802" max="12802" width="14.125" style="318" customWidth="1"/>
    <col min="12803" max="12803" width="14.75" style="318" customWidth="1"/>
    <col min="12804" max="12804" width="5.375" style="318" customWidth="1"/>
    <col min="12805" max="12805" width="22" style="318" bestFit="1" customWidth="1"/>
    <col min="12806" max="12806" width="13.5" style="318" customWidth="1"/>
    <col min="12807" max="12807" width="1" style="318" customWidth="1"/>
    <col min="12808" max="12808" width="4.625" style="318" customWidth="1"/>
    <col min="12809" max="12809" width="22" style="318" bestFit="1" customWidth="1"/>
    <col min="12810" max="12810" width="13.375" style="318" customWidth="1"/>
    <col min="12811" max="12811" width="13.75" style="318" customWidth="1"/>
    <col min="12812" max="12812" width="12.75" style="318" bestFit="1" customWidth="1"/>
    <col min="12813" max="12813" width="11.75" style="318" bestFit="1" customWidth="1"/>
    <col min="12814" max="13057" width="9" style="318"/>
    <col min="13058" max="13058" width="14.125" style="318" customWidth="1"/>
    <col min="13059" max="13059" width="14.75" style="318" customWidth="1"/>
    <col min="13060" max="13060" width="5.375" style="318" customWidth="1"/>
    <col min="13061" max="13061" width="22" style="318" bestFit="1" customWidth="1"/>
    <col min="13062" max="13062" width="13.5" style="318" customWidth="1"/>
    <col min="13063" max="13063" width="1" style="318" customWidth="1"/>
    <col min="13064" max="13064" width="4.625" style="318" customWidth="1"/>
    <col min="13065" max="13065" width="22" style="318" bestFit="1" customWidth="1"/>
    <col min="13066" max="13066" width="13.375" style="318" customWidth="1"/>
    <col min="13067" max="13067" width="13.75" style="318" customWidth="1"/>
    <col min="13068" max="13068" width="12.75" style="318" bestFit="1" customWidth="1"/>
    <col min="13069" max="13069" width="11.75" style="318" bestFit="1" customWidth="1"/>
    <col min="13070" max="13313" width="9" style="318"/>
    <col min="13314" max="13314" width="14.125" style="318" customWidth="1"/>
    <col min="13315" max="13315" width="14.75" style="318" customWidth="1"/>
    <col min="13316" max="13316" width="5.375" style="318" customWidth="1"/>
    <col min="13317" max="13317" width="22" style="318" bestFit="1" customWidth="1"/>
    <col min="13318" max="13318" width="13.5" style="318" customWidth="1"/>
    <col min="13319" max="13319" width="1" style="318" customWidth="1"/>
    <col min="13320" max="13320" width="4.625" style="318" customWidth="1"/>
    <col min="13321" max="13321" width="22" style="318" bestFit="1" customWidth="1"/>
    <col min="13322" max="13322" width="13.375" style="318" customWidth="1"/>
    <col min="13323" max="13323" width="13.75" style="318" customWidth="1"/>
    <col min="13324" max="13324" width="12.75" style="318" bestFit="1" customWidth="1"/>
    <col min="13325" max="13325" width="11.75" style="318" bestFit="1" customWidth="1"/>
    <col min="13326" max="13569" width="9" style="318"/>
    <col min="13570" max="13570" width="14.125" style="318" customWidth="1"/>
    <col min="13571" max="13571" width="14.75" style="318" customWidth="1"/>
    <col min="13572" max="13572" width="5.375" style="318" customWidth="1"/>
    <col min="13573" max="13573" width="22" style="318" bestFit="1" customWidth="1"/>
    <col min="13574" max="13574" width="13.5" style="318" customWidth="1"/>
    <col min="13575" max="13575" width="1" style="318" customWidth="1"/>
    <col min="13576" max="13576" width="4.625" style="318" customWidth="1"/>
    <col min="13577" max="13577" width="22" style="318" bestFit="1" customWidth="1"/>
    <col min="13578" max="13578" width="13.375" style="318" customWidth="1"/>
    <col min="13579" max="13579" width="13.75" style="318" customWidth="1"/>
    <col min="13580" max="13580" width="12.75" style="318" bestFit="1" customWidth="1"/>
    <col min="13581" max="13581" width="11.75" style="318" bestFit="1" customWidth="1"/>
    <col min="13582" max="13825" width="9" style="318"/>
    <col min="13826" max="13826" width="14.125" style="318" customWidth="1"/>
    <col min="13827" max="13827" width="14.75" style="318" customWidth="1"/>
    <col min="13828" max="13828" width="5.375" style="318" customWidth="1"/>
    <col min="13829" max="13829" width="22" style="318" bestFit="1" customWidth="1"/>
    <col min="13830" max="13830" width="13.5" style="318" customWidth="1"/>
    <col min="13831" max="13831" width="1" style="318" customWidth="1"/>
    <col min="13832" max="13832" width="4.625" style="318" customWidth="1"/>
    <col min="13833" max="13833" width="22" style="318" bestFit="1" customWidth="1"/>
    <col min="13834" max="13834" width="13.375" style="318" customWidth="1"/>
    <col min="13835" max="13835" width="13.75" style="318" customWidth="1"/>
    <col min="13836" max="13836" width="12.75" style="318" bestFit="1" customWidth="1"/>
    <col min="13837" max="13837" width="11.75" style="318" bestFit="1" customWidth="1"/>
    <col min="13838" max="14081" width="9" style="318"/>
    <col min="14082" max="14082" width="14.125" style="318" customWidth="1"/>
    <col min="14083" max="14083" width="14.75" style="318" customWidth="1"/>
    <col min="14084" max="14084" width="5.375" style="318" customWidth="1"/>
    <col min="14085" max="14085" width="22" style="318" bestFit="1" customWidth="1"/>
    <col min="14086" max="14086" width="13.5" style="318" customWidth="1"/>
    <col min="14087" max="14087" width="1" style="318" customWidth="1"/>
    <col min="14088" max="14088" width="4.625" style="318" customWidth="1"/>
    <col min="14089" max="14089" width="22" style="318" bestFit="1" customWidth="1"/>
    <col min="14090" max="14090" width="13.375" style="318" customWidth="1"/>
    <col min="14091" max="14091" width="13.75" style="318" customWidth="1"/>
    <col min="14092" max="14092" width="12.75" style="318" bestFit="1" customWidth="1"/>
    <col min="14093" max="14093" width="11.75" style="318" bestFit="1" customWidth="1"/>
    <col min="14094" max="14337" width="9" style="318"/>
    <col min="14338" max="14338" width="14.125" style="318" customWidth="1"/>
    <col min="14339" max="14339" width="14.75" style="318" customWidth="1"/>
    <col min="14340" max="14340" width="5.375" style="318" customWidth="1"/>
    <col min="14341" max="14341" width="22" style="318" bestFit="1" customWidth="1"/>
    <col min="14342" max="14342" width="13.5" style="318" customWidth="1"/>
    <col min="14343" max="14343" width="1" style="318" customWidth="1"/>
    <col min="14344" max="14344" width="4.625" style="318" customWidth="1"/>
    <col min="14345" max="14345" width="22" style="318" bestFit="1" customWidth="1"/>
    <col min="14346" max="14346" width="13.375" style="318" customWidth="1"/>
    <col min="14347" max="14347" width="13.75" style="318" customWidth="1"/>
    <col min="14348" max="14348" width="12.75" style="318" bestFit="1" customWidth="1"/>
    <col min="14349" max="14349" width="11.75" style="318" bestFit="1" customWidth="1"/>
    <col min="14350" max="14593" width="9" style="318"/>
    <col min="14594" max="14594" width="14.125" style="318" customWidth="1"/>
    <col min="14595" max="14595" width="14.75" style="318" customWidth="1"/>
    <col min="14596" max="14596" width="5.375" style="318" customWidth="1"/>
    <col min="14597" max="14597" width="22" style="318" bestFit="1" customWidth="1"/>
    <col min="14598" max="14598" width="13.5" style="318" customWidth="1"/>
    <col min="14599" max="14599" width="1" style="318" customWidth="1"/>
    <col min="14600" max="14600" width="4.625" style="318" customWidth="1"/>
    <col min="14601" max="14601" width="22" style="318" bestFit="1" customWidth="1"/>
    <col min="14602" max="14602" width="13.375" style="318" customWidth="1"/>
    <col min="14603" max="14603" width="13.75" style="318" customWidth="1"/>
    <col min="14604" max="14604" width="12.75" style="318" bestFit="1" customWidth="1"/>
    <col min="14605" max="14605" width="11.75" style="318" bestFit="1" customWidth="1"/>
    <col min="14606" max="14849" width="9" style="318"/>
    <col min="14850" max="14850" width="14.125" style="318" customWidth="1"/>
    <col min="14851" max="14851" width="14.75" style="318" customWidth="1"/>
    <col min="14852" max="14852" width="5.375" style="318" customWidth="1"/>
    <col min="14853" max="14853" width="22" style="318" bestFit="1" customWidth="1"/>
    <col min="14854" max="14854" width="13.5" style="318" customWidth="1"/>
    <col min="14855" max="14855" width="1" style="318" customWidth="1"/>
    <col min="14856" max="14856" width="4.625" style="318" customWidth="1"/>
    <col min="14857" max="14857" width="22" style="318" bestFit="1" customWidth="1"/>
    <col min="14858" max="14858" width="13.375" style="318" customWidth="1"/>
    <col min="14859" max="14859" width="13.75" style="318" customWidth="1"/>
    <col min="14860" max="14860" width="12.75" style="318" bestFit="1" customWidth="1"/>
    <col min="14861" max="14861" width="11.75" style="318" bestFit="1" customWidth="1"/>
    <col min="14862" max="15105" width="9" style="318"/>
    <col min="15106" max="15106" width="14.125" style="318" customWidth="1"/>
    <col min="15107" max="15107" width="14.75" style="318" customWidth="1"/>
    <col min="15108" max="15108" width="5.375" style="318" customWidth="1"/>
    <col min="15109" max="15109" width="22" style="318" bestFit="1" customWidth="1"/>
    <col min="15110" max="15110" width="13.5" style="318" customWidth="1"/>
    <col min="15111" max="15111" width="1" style="318" customWidth="1"/>
    <col min="15112" max="15112" width="4.625" style="318" customWidth="1"/>
    <col min="15113" max="15113" width="22" style="318" bestFit="1" customWidth="1"/>
    <col min="15114" max="15114" width="13.375" style="318" customWidth="1"/>
    <col min="15115" max="15115" width="13.75" style="318" customWidth="1"/>
    <col min="15116" max="15116" width="12.75" style="318" bestFit="1" customWidth="1"/>
    <col min="15117" max="15117" width="11.75" style="318" bestFit="1" customWidth="1"/>
    <col min="15118" max="15361" width="9" style="318"/>
    <col min="15362" max="15362" width="14.125" style="318" customWidth="1"/>
    <col min="15363" max="15363" width="14.75" style="318" customWidth="1"/>
    <col min="15364" max="15364" width="5.375" style="318" customWidth="1"/>
    <col min="15365" max="15365" width="22" style="318" bestFit="1" customWidth="1"/>
    <col min="15366" max="15366" width="13.5" style="318" customWidth="1"/>
    <col min="15367" max="15367" width="1" style="318" customWidth="1"/>
    <col min="15368" max="15368" width="4.625" style="318" customWidth="1"/>
    <col min="15369" max="15369" width="22" style="318" bestFit="1" customWidth="1"/>
    <col min="15370" max="15370" width="13.375" style="318" customWidth="1"/>
    <col min="15371" max="15371" width="13.75" style="318" customWidth="1"/>
    <col min="15372" max="15372" width="12.75" style="318" bestFit="1" customWidth="1"/>
    <col min="15373" max="15373" width="11.75" style="318" bestFit="1" customWidth="1"/>
    <col min="15374" max="15617" width="9" style="318"/>
    <col min="15618" max="15618" width="14.125" style="318" customWidth="1"/>
    <col min="15619" max="15619" width="14.75" style="318" customWidth="1"/>
    <col min="15620" max="15620" width="5.375" style="318" customWidth="1"/>
    <col min="15621" max="15621" width="22" style="318" bestFit="1" customWidth="1"/>
    <col min="15622" max="15622" width="13.5" style="318" customWidth="1"/>
    <col min="15623" max="15623" width="1" style="318" customWidth="1"/>
    <col min="15624" max="15624" width="4.625" style="318" customWidth="1"/>
    <col min="15625" max="15625" width="22" style="318" bestFit="1" customWidth="1"/>
    <col min="15626" max="15626" width="13.375" style="318" customWidth="1"/>
    <col min="15627" max="15627" width="13.75" style="318" customWidth="1"/>
    <col min="15628" max="15628" width="12.75" style="318" bestFit="1" customWidth="1"/>
    <col min="15629" max="15629" width="11.75" style="318" bestFit="1" customWidth="1"/>
    <col min="15630" max="15873" width="9" style="318"/>
    <col min="15874" max="15874" width="14.125" style="318" customWidth="1"/>
    <col min="15875" max="15875" width="14.75" style="318" customWidth="1"/>
    <col min="15876" max="15876" width="5.375" style="318" customWidth="1"/>
    <col min="15877" max="15877" width="22" style="318" bestFit="1" customWidth="1"/>
    <col min="15878" max="15878" width="13.5" style="318" customWidth="1"/>
    <col min="15879" max="15879" width="1" style="318" customWidth="1"/>
    <col min="15880" max="15880" width="4.625" style="318" customWidth="1"/>
    <col min="15881" max="15881" width="22" style="318" bestFit="1" customWidth="1"/>
    <col min="15882" max="15882" width="13.375" style="318" customWidth="1"/>
    <col min="15883" max="15883" width="13.75" style="318" customWidth="1"/>
    <col min="15884" max="15884" width="12.75" style="318" bestFit="1" customWidth="1"/>
    <col min="15885" max="15885" width="11.75" style="318" bestFit="1" customWidth="1"/>
    <col min="15886" max="16129" width="9" style="318"/>
    <col min="16130" max="16130" width="14.125" style="318" customWidth="1"/>
    <col min="16131" max="16131" width="14.75" style="318" customWidth="1"/>
    <col min="16132" max="16132" width="5.375" style="318" customWidth="1"/>
    <col min="16133" max="16133" width="22" style="318" bestFit="1" customWidth="1"/>
    <col min="16134" max="16134" width="13.5" style="318" customWidth="1"/>
    <col min="16135" max="16135" width="1" style="318" customWidth="1"/>
    <col min="16136" max="16136" width="4.625" style="318" customWidth="1"/>
    <col min="16137" max="16137" width="22" style="318" bestFit="1" customWidth="1"/>
    <col min="16138" max="16138" width="13.375" style="318" customWidth="1"/>
    <col min="16139" max="16139" width="13.75" style="318" customWidth="1"/>
    <col min="16140" max="16140" width="12.75" style="318" bestFit="1" customWidth="1"/>
    <col min="16141" max="16141" width="11.75" style="318" bestFit="1" customWidth="1"/>
    <col min="16142" max="16384" width="9" style="318"/>
  </cols>
  <sheetData>
    <row r="2" spans="2:12" ht="15.6" customHeight="1">
      <c r="B2" s="320" t="s">
        <v>609</v>
      </c>
      <c r="C2" s="321" t="str">
        <f>기본사항!C4</f>
        <v>제  12  기</v>
      </c>
      <c r="D2" s="321" t="s">
        <v>1044</v>
      </c>
      <c r="E2" s="321" t="s">
        <v>1045</v>
      </c>
      <c r="F2" s="321" t="s">
        <v>1046</v>
      </c>
      <c r="G2" s="321"/>
      <c r="H2" s="321" t="s">
        <v>1044</v>
      </c>
      <c r="I2" s="321" t="s">
        <v>1045</v>
      </c>
      <c r="J2" s="321" t="s">
        <v>1047</v>
      </c>
      <c r="K2" s="321" t="str">
        <f>기본사항!C3</f>
        <v>제  13  기</v>
      </c>
      <c r="L2" s="322" t="s">
        <v>1043</v>
      </c>
    </row>
    <row r="3" spans="2:12" ht="15.6" customHeight="1">
      <c r="B3" s="320" t="str">
        <f>재무제표!A10</f>
        <v>자                        산</v>
      </c>
      <c r="C3" s="320"/>
      <c r="D3" s="320"/>
      <c r="E3" s="320"/>
      <c r="F3" s="320"/>
      <c r="G3" s="320"/>
      <c r="H3" s="320"/>
      <c r="I3" s="320"/>
      <c r="J3" s="320"/>
      <c r="K3" s="320"/>
      <c r="L3" s="322"/>
    </row>
    <row r="4" spans="2:12" ht="15.6" customHeight="1">
      <c r="B4" s="323" t="str">
        <f>재무제표!A11</f>
        <v>I.유동자산</v>
      </c>
      <c r="C4" s="323">
        <f>SUM(C5,C18)</f>
        <v>0</v>
      </c>
      <c r="D4" s="323"/>
      <c r="E4" s="323"/>
      <c r="F4" s="323"/>
      <c r="G4" s="323"/>
      <c r="H4" s="323"/>
      <c r="I4" s="323"/>
      <c r="J4" s="323"/>
      <c r="K4" s="323">
        <f>SUM(K5,K18)</f>
        <v>0</v>
      </c>
      <c r="L4" s="324">
        <f>SUM(L5,L18)</f>
        <v>0</v>
      </c>
    </row>
    <row r="5" spans="2:12" ht="15.6" customHeight="1">
      <c r="B5" s="325" t="str">
        <f>재무제표!A12</f>
        <v>(1)당좌자산</v>
      </c>
      <c r="C5" s="325">
        <f>SUM(C6:C17)</f>
        <v>0</v>
      </c>
      <c r="D5" s="325"/>
      <c r="E5" s="325"/>
      <c r="F5" s="325"/>
      <c r="G5" s="325"/>
      <c r="H5" s="325"/>
      <c r="I5" s="325"/>
      <c r="J5" s="325"/>
      <c r="K5" s="325">
        <f>SUM(K6:K17)</f>
        <v>0</v>
      </c>
      <c r="L5" s="326">
        <f>SUM(L6:L17)</f>
        <v>0</v>
      </c>
    </row>
    <row r="6" spans="2:12" ht="15.6" customHeight="1">
      <c r="B6" s="327" t="str">
        <f>재무제표!A13</f>
        <v>1.현금및현금성자산(주석2,17,22)</v>
      </c>
      <c r="C6" s="327">
        <f>VLOOKUP($B6,재무제표!$A$10:$E$99,4,FALSE)</f>
        <v>0</v>
      </c>
      <c r="D6" s="327"/>
      <c r="E6" s="327"/>
      <c r="F6" s="327"/>
      <c r="G6" s="327"/>
      <c r="H6" s="327"/>
      <c r="I6" s="327"/>
      <c r="J6" s="327"/>
      <c r="K6" s="327">
        <f>VLOOKUP($B6,재무제표!$A$10:$E$99,2,FALSE)</f>
        <v>0</v>
      </c>
      <c r="L6" s="328">
        <f t="shared" ref="L6:L11" si="0">C6+F6-J6-K6</f>
        <v>0</v>
      </c>
    </row>
    <row r="7" spans="2:12" ht="15.6" customHeight="1">
      <c r="B7" s="327" t="str">
        <f>재무제표!A14</f>
        <v>2.단기금융상품</v>
      </c>
      <c r="C7" s="327">
        <f>VLOOKUP($B7,재무제표!$A$10:$E$99,4,FALSE)</f>
        <v>0</v>
      </c>
      <c r="D7" s="327"/>
      <c r="E7" s="327"/>
      <c r="F7" s="327"/>
      <c r="G7" s="327"/>
      <c r="H7" s="327"/>
      <c r="I7" s="327"/>
      <c r="J7" s="327"/>
      <c r="K7" s="327">
        <f>VLOOKUP($B7,재무제표!$A$10:$E$99,2,FALSE)</f>
        <v>0</v>
      </c>
      <c r="L7" s="328">
        <f t="shared" si="0"/>
        <v>0</v>
      </c>
    </row>
    <row r="8" spans="2:12" ht="15.6" customHeight="1">
      <c r="B8" s="327" t="str">
        <f>재무제표!A15</f>
        <v>3.매출채권(주석8,17,19)</v>
      </c>
      <c r="C8" s="327">
        <f>VLOOKUP($B8,재무제표!$A$10:$E$99,4,FALSE)</f>
        <v>0</v>
      </c>
      <c r="D8" s="327"/>
      <c r="E8" s="327"/>
      <c r="F8" s="329"/>
      <c r="G8" s="327"/>
      <c r="H8" s="327"/>
      <c r="I8" s="327"/>
      <c r="J8" s="327"/>
      <c r="K8" s="327">
        <f>VLOOKUP($B8,재무제표!$A$10:$E$99,2,FALSE)</f>
        <v>0</v>
      </c>
      <c r="L8" s="328">
        <f t="shared" si="0"/>
        <v>0</v>
      </c>
    </row>
    <row r="9" spans="2:12" ht="15.6" customHeight="1">
      <c r="B9" s="327" t="str">
        <f>재무제표!A16</f>
        <v xml:space="preserve">  매출채권대손충당금(주석2)</v>
      </c>
      <c r="C9" s="327">
        <f>VLOOKUP($B9,재무제표!$A$10:$E$99,4,FALSE)</f>
        <v>0</v>
      </c>
      <c r="D9" s="327"/>
      <c r="E9" s="327"/>
      <c r="F9" s="329"/>
      <c r="G9" s="327"/>
      <c r="H9" s="327"/>
      <c r="I9" s="327"/>
      <c r="J9" s="329"/>
      <c r="K9" s="327">
        <f>VLOOKUP($B9,재무제표!$A$10:$E$99,2,FALSE)</f>
        <v>0</v>
      </c>
      <c r="L9" s="328">
        <f t="shared" si="0"/>
        <v>0</v>
      </c>
    </row>
    <row r="10" spans="2:12" ht="15.6" customHeight="1">
      <c r="B10" s="327" t="str">
        <f>재무제표!A17</f>
        <v>4.미수수익</v>
      </c>
      <c r="C10" s="327">
        <f>VLOOKUP($B10,재무제표!$A$10:$E$99,4,FALSE)</f>
        <v>0</v>
      </c>
      <c r="D10" s="327"/>
      <c r="E10" s="327"/>
      <c r="F10" s="329"/>
      <c r="G10" s="327"/>
      <c r="H10" s="327"/>
      <c r="I10" s="327"/>
      <c r="J10" s="329"/>
      <c r="K10" s="327">
        <f>VLOOKUP($B10,재무제표!$A$10:$E$99,2,FALSE)</f>
        <v>0</v>
      </c>
      <c r="L10" s="328">
        <f t="shared" si="0"/>
        <v>0</v>
      </c>
    </row>
    <row r="11" spans="2:12" ht="15.6" customHeight="1">
      <c r="B11" s="327" t="str">
        <f>재무제표!A18</f>
        <v>5.미수금</v>
      </c>
      <c r="C11" s="327">
        <f>VLOOKUP($B11,재무제표!$A$10:$E$99,4,FALSE)</f>
        <v>0</v>
      </c>
      <c r="D11" s="327"/>
      <c r="E11" s="327"/>
      <c r="F11" s="329"/>
      <c r="G11" s="327"/>
      <c r="H11" s="327"/>
      <c r="I11" s="327"/>
      <c r="J11" s="329"/>
      <c r="K11" s="327">
        <f>VLOOKUP($B11,재무제표!$A$10:$E$99,2,FALSE)</f>
        <v>0</v>
      </c>
      <c r="L11" s="328">
        <f t="shared" si="0"/>
        <v>0</v>
      </c>
    </row>
    <row r="12" spans="2:12" ht="15.6" customHeight="1">
      <c r="B12" s="327" t="str">
        <f>재무제표!A19</f>
        <v>6.선납법인세</v>
      </c>
      <c r="C12" s="327">
        <f>VLOOKUP($B12,재무제표!$A$10:$E$99,4,FALSE)</f>
        <v>0</v>
      </c>
      <c r="D12" s="327"/>
      <c r="E12" s="327"/>
      <c r="F12" s="329"/>
      <c r="G12" s="327"/>
      <c r="H12" s="327"/>
      <c r="I12" s="327"/>
      <c r="J12" s="329"/>
      <c r="K12" s="327">
        <f>VLOOKUP($B12,재무제표!$A$10:$E$99,2,FALSE)</f>
        <v>0</v>
      </c>
      <c r="L12" s="328">
        <f t="shared" ref="L12:L17" si="1">C12+F12-J12-K12</f>
        <v>0</v>
      </c>
    </row>
    <row r="13" spans="2:12" ht="15.6" customHeight="1">
      <c r="B13" s="327" t="str">
        <f>재무제표!A20</f>
        <v>7.종업원단기대여금</v>
      </c>
      <c r="C13" s="327">
        <f>VLOOKUP($B13,재무제표!$A$10:$E$99,4,FALSE)</f>
        <v>0</v>
      </c>
      <c r="D13" s="327"/>
      <c r="E13" s="327"/>
      <c r="F13" s="329"/>
      <c r="G13" s="327"/>
      <c r="H13" s="327"/>
      <c r="I13" s="327"/>
      <c r="J13" s="329"/>
      <c r="K13" s="327">
        <f>VLOOKUP($B13,재무제표!$A$10:$E$99,2,FALSE)</f>
        <v>0</v>
      </c>
      <c r="L13" s="328">
        <f t="shared" si="1"/>
        <v>0</v>
      </c>
    </row>
    <row r="14" spans="2:12" ht="15.6" customHeight="1">
      <c r="B14" s="327" t="str">
        <f>재무제표!A21</f>
        <v>8.선급금</v>
      </c>
      <c r="C14" s="327">
        <f>VLOOKUP($B14,재무제표!$A$10:$E$99,4,FALSE)</f>
        <v>0</v>
      </c>
      <c r="D14" s="327"/>
      <c r="E14" s="327"/>
      <c r="F14" s="327"/>
      <c r="G14" s="327"/>
      <c r="H14" s="327"/>
      <c r="I14" s="327"/>
      <c r="J14" s="329"/>
      <c r="K14" s="327">
        <f>VLOOKUP($B14,재무제표!$A$10:$E$99,2,FALSE)</f>
        <v>0</v>
      </c>
      <c r="L14" s="328">
        <f t="shared" si="1"/>
        <v>0</v>
      </c>
    </row>
    <row r="15" spans="2:12" ht="15.6" customHeight="1">
      <c r="B15" s="327" t="str">
        <f>재무제표!A22</f>
        <v xml:space="preserve">   선급금대손충당금</v>
      </c>
      <c r="C15" s="327">
        <f>VLOOKUP($B15,재무제표!$A$10:$E$99,4,FALSE)</f>
        <v>0</v>
      </c>
      <c r="D15" s="327"/>
      <c r="E15" s="327"/>
      <c r="F15" s="327"/>
      <c r="G15" s="327"/>
      <c r="H15" s="327"/>
      <c r="I15" s="327"/>
      <c r="J15" s="329"/>
      <c r="K15" s="327">
        <f>VLOOKUP($B15,재무제표!$A$10:$E$99,2,FALSE)</f>
        <v>0</v>
      </c>
      <c r="L15" s="328">
        <f t="shared" si="1"/>
        <v>0</v>
      </c>
    </row>
    <row r="16" spans="2:12" ht="15.6" customHeight="1">
      <c r="B16" s="327" t="str">
        <f>재무제표!A23</f>
        <v>9.선급비용</v>
      </c>
      <c r="C16" s="327">
        <f>VLOOKUP($B16,재무제표!$A$10:$E$99,4,FALSE)</f>
        <v>0</v>
      </c>
      <c r="D16" s="327"/>
      <c r="E16" s="327"/>
      <c r="F16" s="327"/>
      <c r="G16" s="327"/>
      <c r="H16" s="327"/>
      <c r="I16" s="327"/>
      <c r="J16" s="327"/>
      <c r="K16" s="327">
        <f>VLOOKUP($B16,재무제표!$A$10:$E$99,2,FALSE)</f>
        <v>0</v>
      </c>
      <c r="L16" s="328">
        <f t="shared" si="1"/>
        <v>0</v>
      </c>
    </row>
    <row r="17" spans="2:12" ht="15.6" customHeight="1">
      <c r="B17" s="327" t="str">
        <f>재무제표!A24</f>
        <v>10.유동성이연법인세자산(주석2,15)</v>
      </c>
      <c r="C17" s="327">
        <f>VLOOKUP($B17,재무제표!$A$10:$E$99,4,FALSE)</f>
        <v>0</v>
      </c>
      <c r="D17" s="327"/>
      <c r="E17" s="327"/>
      <c r="F17" s="327"/>
      <c r="G17" s="327"/>
      <c r="H17" s="327"/>
      <c r="I17" s="327"/>
      <c r="J17" s="327"/>
      <c r="K17" s="327">
        <f>VLOOKUP($B17,재무제표!$A$10:$E$99,2,FALSE)</f>
        <v>0</v>
      </c>
      <c r="L17" s="328">
        <f t="shared" si="1"/>
        <v>0</v>
      </c>
    </row>
    <row r="18" spans="2:12" ht="15.6" customHeight="1">
      <c r="B18" s="327" t="str">
        <f>재무제표!A25</f>
        <v>(2)재고자산(주석2)</v>
      </c>
      <c r="C18" s="327">
        <f>SUM(C19:C22)</f>
        <v>0</v>
      </c>
      <c r="D18" s="327"/>
      <c r="E18" s="327"/>
      <c r="F18" s="327"/>
      <c r="G18" s="327"/>
      <c r="H18" s="327"/>
      <c r="I18" s="327"/>
      <c r="J18" s="327"/>
      <c r="K18" s="327">
        <f>SUM(K19:K22)</f>
        <v>0</v>
      </c>
      <c r="L18" s="328">
        <f>SUM(L19:L22)</f>
        <v>0</v>
      </c>
    </row>
    <row r="19" spans="2:12" ht="15.6" customHeight="1">
      <c r="B19" s="327" t="str">
        <f>재무제표!A26</f>
        <v>1.제품</v>
      </c>
      <c r="C19" s="327">
        <f>VLOOKUP($B19,재무제표!$A$10:$E$99,4,FALSE)</f>
        <v>0</v>
      </c>
      <c r="D19" s="327"/>
      <c r="E19" s="327"/>
      <c r="F19" s="327"/>
      <c r="G19" s="327"/>
      <c r="H19" s="327"/>
      <c r="I19" s="327"/>
      <c r="J19" s="327"/>
      <c r="K19" s="327">
        <f>VLOOKUP($B19,재무제표!$A$10:$E$99,2,FALSE)</f>
        <v>0</v>
      </c>
      <c r="L19" s="328">
        <f t="shared" ref="L19:L53" si="2">C19+F19-J19-K19</f>
        <v>0</v>
      </c>
    </row>
    <row r="20" spans="2:12" ht="15.6" customHeight="1">
      <c r="B20" s="327" t="str">
        <f>재무제표!A27</f>
        <v>2.원재료</v>
      </c>
      <c r="C20" s="327">
        <f>VLOOKUP($B20,재무제표!$A$10:$E$99,4,FALSE)</f>
        <v>0</v>
      </c>
      <c r="D20" s="327"/>
      <c r="E20" s="327"/>
      <c r="F20" s="327"/>
      <c r="G20" s="327"/>
      <c r="H20" s="327"/>
      <c r="I20" s="327"/>
      <c r="J20" s="327"/>
      <c r="K20" s="327">
        <f>VLOOKUP($B20,재무제표!$A$10:$E$99,2,FALSE)</f>
        <v>0</v>
      </c>
      <c r="L20" s="328">
        <f t="shared" si="2"/>
        <v>0</v>
      </c>
    </row>
    <row r="21" spans="2:12" ht="15.6" customHeight="1">
      <c r="B21" s="327" t="str">
        <f>재무제표!A28</f>
        <v>3.부재료</v>
      </c>
      <c r="C21" s="327">
        <f>VLOOKUP($B21,재무제표!$A$10:$E$99,4,FALSE)</f>
        <v>0</v>
      </c>
      <c r="D21" s="327"/>
      <c r="E21" s="327"/>
      <c r="F21" s="327"/>
      <c r="G21" s="327"/>
      <c r="H21" s="327"/>
      <c r="I21" s="327"/>
      <c r="J21" s="327"/>
      <c r="K21" s="327">
        <f>VLOOKUP($B21,재무제표!$A$10:$E$99,2,FALSE)</f>
        <v>0</v>
      </c>
      <c r="L21" s="328">
        <f t="shared" si="2"/>
        <v>0</v>
      </c>
    </row>
    <row r="22" spans="2:12" ht="15.6" customHeight="1">
      <c r="B22" s="330" t="str">
        <f>재무제표!A29</f>
        <v>4.재공품</v>
      </c>
      <c r="C22" s="330">
        <f>VLOOKUP($B22,재무제표!$A$10:$E$99,4,FALSE)</f>
        <v>0</v>
      </c>
      <c r="D22" s="330"/>
      <c r="E22" s="330"/>
      <c r="F22" s="331"/>
      <c r="G22" s="330"/>
      <c r="H22" s="330"/>
      <c r="I22" s="330"/>
      <c r="J22" s="330"/>
      <c r="K22" s="330">
        <f>VLOOKUP($B22,재무제표!$A$10:$E$99,2,FALSE)</f>
        <v>0</v>
      </c>
      <c r="L22" s="332">
        <f t="shared" si="2"/>
        <v>0</v>
      </c>
    </row>
    <row r="23" spans="2:12" ht="15.6" customHeight="1">
      <c r="B23" s="323" t="str">
        <f>재무제표!A30</f>
        <v>II.비유동자산</v>
      </c>
      <c r="C23" s="323">
        <f>SUM(C24,C29,C47,C51)</f>
        <v>0</v>
      </c>
      <c r="D23" s="323"/>
      <c r="E23" s="323"/>
      <c r="F23" s="323"/>
      <c r="G23" s="323"/>
      <c r="H23" s="323"/>
      <c r="I23" s="323"/>
      <c r="J23" s="323"/>
      <c r="K23" s="323">
        <f>SUM(K24,K29,K47,K51)</f>
        <v>0</v>
      </c>
      <c r="L23" s="324">
        <f>SUM(L24,L29,L47,L51)</f>
        <v>0</v>
      </c>
    </row>
    <row r="24" spans="2:12" ht="15.6" customHeight="1">
      <c r="B24" s="325" t="str">
        <f>재무제표!A31</f>
        <v>(1)투자자산</v>
      </c>
      <c r="C24" s="325">
        <f>SUM(C25:C28)</f>
        <v>0</v>
      </c>
      <c r="D24" s="325"/>
      <c r="E24" s="325"/>
      <c r="F24" s="325"/>
      <c r="G24" s="325"/>
      <c r="H24" s="325"/>
      <c r="I24" s="325"/>
      <c r="J24" s="325"/>
      <c r="K24" s="325">
        <f>SUM(K25:K28)</f>
        <v>0</v>
      </c>
      <c r="L24" s="326">
        <f>SUM(L25:L28)</f>
        <v>0</v>
      </c>
    </row>
    <row r="25" spans="2:12" ht="15.6" customHeight="1">
      <c r="B25" s="327" t="str">
        <f>재무제표!A32</f>
        <v>1.장기금융상품(주석3,9)</v>
      </c>
      <c r="C25" s="327">
        <f>VLOOKUP($B25,재무제표!$A$10:$E$99,4,FALSE)</f>
        <v>0</v>
      </c>
      <c r="D25" s="327"/>
      <c r="E25" s="327"/>
      <c r="F25" s="327"/>
      <c r="G25" s="327"/>
      <c r="H25" s="327"/>
      <c r="I25" s="327"/>
      <c r="J25" s="327"/>
      <c r="K25" s="327">
        <f>VLOOKUP($B25,재무제표!$A$10:$E$99,4,FALSE)</f>
        <v>0</v>
      </c>
      <c r="L25" s="328">
        <f t="shared" si="2"/>
        <v>0</v>
      </c>
    </row>
    <row r="26" spans="2:12" ht="15.6" customHeight="1">
      <c r="B26" s="327" t="str">
        <f>재무제표!A33</f>
        <v>2.매도가능증권(주석2,4)</v>
      </c>
      <c r="C26" s="327">
        <f>VLOOKUP($B26,재무제표!$A$10:$E$99,4,FALSE)</f>
        <v>0</v>
      </c>
      <c r="D26" s="327"/>
      <c r="E26" s="327"/>
      <c r="F26" s="327"/>
      <c r="G26" s="327"/>
      <c r="H26" s="327"/>
      <c r="I26" s="327"/>
      <c r="J26" s="327"/>
      <c r="K26" s="327">
        <f>VLOOKUP($B26,재무제표!$A$10:$E$99,4,FALSE)</f>
        <v>0</v>
      </c>
      <c r="L26" s="328">
        <f>C26+F26+F27-J26-K26</f>
        <v>0</v>
      </c>
    </row>
    <row r="27" spans="2:12" ht="15.6" customHeight="1">
      <c r="B27" s="327" t="str">
        <f>재무제표!A34</f>
        <v>3.만기보유증권(주석2,4)</v>
      </c>
      <c r="C27" s="327">
        <f>VLOOKUP($B27,재무제표!$A$10:$E$99,4,FALSE)</f>
        <v>0</v>
      </c>
      <c r="D27" s="327"/>
      <c r="E27" s="327"/>
      <c r="F27" s="327"/>
      <c r="G27" s="327"/>
      <c r="H27" s="327"/>
      <c r="I27" s="327"/>
      <c r="J27" s="327"/>
      <c r="K27" s="327">
        <f>VLOOKUP($B27,재무제표!$A$10:$E$99,4,FALSE)</f>
        <v>0</v>
      </c>
      <c r="L27" s="328">
        <f>C27+F27+F28-J27-K27</f>
        <v>0</v>
      </c>
    </row>
    <row r="28" spans="2:12" ht="15.6" customHeight="1">
      <c r="B28" s="327" t="str">
        <f>재무제표!A35</f>
        <v>4.지분법적용투자주식(주석2,5)</v>
      </c>
      <c r="C28" s="327">
        <f>VLOOKUP($B28,재무제표!$A$10:$E$99,4,FALSE)</f>
        <v>0</v>
      </c>
      <c r="D28" s="327"/>
      <c r="E28" s="327"/>
      <c r="F28" s="327"/>
      <c r="G28" s="327"/>
      <c r="H28" s="327"/>
      <c r="I28" s="327"/>
      <c r="J28" s="327"/>
      <c r="K28" s="327">
        <f>VLOOKUP($B28,재무제표!$A$10:$E$99,4,FALSE)</f>
        <v>0</v>
      </c>
      <c r="L28" s="328">
        <f t="shared" si="2"/>
        <v>0</v>
      </c>
    </row>
    <row r="29" spans="2:12" ht="15.6" customHeight="1">
      <c r="B29" s="327" t="str">
        <f>재무제표!A36</f>
        <v>(2)유형자산(주석2,6,7,9,10)</v>
      </c>
      <c r="C29" s="327">
        <f>SUM(C30:C46)</f>
        <v>0</v>
      </c>
      <c r="D29" s="327"/>
      <c r="E29" s="327"/>
      <c r="F29" s="327"/>
      <c r="G29" s="327"/>
      <c r="H29" s="327"/>
      <c r="I29" s="327"/>
      <c r="J29" s="327"/>
      <c r="K29" s="327">
        <f>SUM(K30:K46)</f>
        <v>0</v>
      </c>
      <c r="L29" s="328">
        <f>SUM(L30:L46)</f>
        <v>0</v>
      </c>
    </row>
    <row r="30" spans="2:12" ht="15.6" customHeight="1">
      <c r="B30" s="327" t="str">
        <f>재무제표!A37</f>
        <v>1.토지</v>
      </c>
      <c r="C30" s="327">
        <f>VLOOKUP($B30,재무제표!$A$10:$E$99,4,FALSE)</f>
        <v>0</v>
      </c>
      <c r="D30" s="327"/>
      <c r="E30" s="327"/>
      <c r="F30" s="327"/>
      <c r="G30" s="327"/>
      <c r="H30" s="327"/>
      <c r="I30" s="327"/>
      <c r="J30" s="327"/>
      <c r="K30" s="327">
        <f>VLOOKUP($B30,재무제표!$A$10:$E$99,4,FALSE)</f>
        <v>0</v>
      </c>
      <c r="L30" s="328">
        <f t="shared" si="2"/>
        <v>0</v>
      </c>
    </row>
    <row r="31" spans="2:12" ht="15.6" customHeight="1">
      <c r="B31" s="327" t="str">
        <f>재무제표!A38</f>
        <v>2.건물</v>
      </c>
      <c r="C31" s="327">
        <f>VLOOKUP($B31,재무제표!$A$10:$E$99,4,FALSE)</f>
        <v>0</v>
      </c>
      <c r="D31" s="327"/>
      <c r="E31" s="327"/>
      <c r="F31" s="327"/>
      <c r="G31" s="327"/>
      <c r="H31" s="327"/>
      <c r="I31" s="327"/>
      <c r="J31" s="327"/>
      <c r="K31" s="327">
        <f>VLOOKUP($B31,재무제표!$A$10:$E$99,4,FALSE)</f>
        <v>0</v>
      </c>
      <c r="L31" s="328">
        <f t="shared" si="2"/>
        <v>0</v>
      </c>
    </row>
    <row r="32" spans="2:12" ht="15.6" customHeight="1">
      <c r="B32" s="327" t="str">
        <f>재무제표!A39</f>
        <v>2.건물감가상각누계액</v>
      </c>
      <c r="C32" s="327">
        <f>VLOOKUP($B32,재무제표!$A$10:$E$99,4,FALSE)</f>
        <v>0</v>
      </c>
      <c r="D32" s="327"/>
      <c r="E32" s="327"/>
      <c r="F32" s="327"/>
      <c r="G32" s="327"/>
      <c r="H32" s="327"/>
      <c r="I32" s="327"/>
      <c r="J32" s="327"/>
      <c r="K32" s="327">
        <f>VLOOKUP($B32,재무제표!$A$10:$E$99,4,FALSE)</f>
        <v>0</v>
      </c>
      <c r="L32" s="328">
        <f t="shared" si="2"/>
        <v>0</v>
      </c>
    </row>
    <row r="33" spans="2:12" ht="15.6" customHeight="1">
      <c r="B33" s="327" t="str">
        <f>재무제표!A40</f>
        <v>3.구축물</v>
      </c>
      <c r="C33" s="327">
        <f>VLOOKUP($B33,재무제표!$A$10:$E$99,4,FALSE)</f>
        <v>0</v>
      </c>
      <c r="D33" s="327"/>
      <c r="E33" s="327"/>
      <c r="F33" s="327"/>
      <c r="G33" s="327"/>
      <c r="H33" s="327"/>
      <c r="I33" s="327"/>
      <c r="J33" s="327"/>
      <c r="K33" s="327">
        <f>VLOOKUP($B33,재무제표!$A$10:$E$99,4,FALSE)</f>
        <v>0</v>
      </c>
      <c r="L33" s="328">
        <f t="shared" si="2"/>
        <v>0</v>
      </c>
    </row>
    <row r="34" spans="2:12" ht="15.6" customHeight="1">
      <c r="B34" s="327" t="str">
        <f>재무제표!A41</f>
        <v>3.구축물감가상각누계액</v>
      </c>
      <c r="C34" s="327">
        <f>VLOOKUP($B34,재무제표!$A$10:$E$99,4,FALSE)</f>
        <v>0</v>
      </c>
      <c r="D34" s="327"/>
      <c r="E34" s="327"/>
      <c r="F34" s="327"/>
      <c r="G34" s="327"/>
      <c r="H34" s="327"/>
      <c r="I34" s="327"/>
      <c r="J34" s="327"/>
      <c r="K34" s="327">
        <f>VLOOKUP($B34,재무제표!$A$10:$E$99,4,FALSE)</f>
        <v>0</v>
      </c>
      <c r="L34" s="328">
        <f t="shared" si="2"/>
        <v>0</v>
      </c>
    </row>
    <row r="35" spans="2:12" ht="15.6" customHeight="1">
      <c r="B35" s="327" t="str">
        <f>재무제표!A42</f>
        <v>4.기계장치</v>
      </c>
      <c r="C35" s="327">
        <f>VLOOKUP($B35,재무제표!$A$10:$E$99,4,FALSE)</f>
        <v>0</v>
      </c>
      <c r="D35" s="327"/>
      <c r="E35" s="327"/>
      <c r="F35" s="327"/>
      <c r="G35" s="327"/>
      <c r="H35" s="327"/>
      <c r="I35" s="327"/>
      <c r="J35" s="327"/>
      <c r="K35" s="327">
        <f>VLOOKUP($B35,재무제표!$A$10:$E$99,4,FALSE)</f>
        <v>0</v>
      </c>
      <c r="L35" s="328">
        <f t="shared" si="2"/>
        <v>0</v>
      </c>
    </row>
    <row r="36" spans="2:12" ht="15.6" customHeight="1">
      <c r="B36" s="327" t="str">
        <f>재무제표!A43</f>
        <v>4.기계장치감가상각누계액</v>
      </c>
      <c r="C36" s="327">
        <f>VLOOKUP($B36,재무제표!$A$10:$E$99,4,FALSE)</f>
        <v>0</v>
      </c>
      <c r="D36" s="327"/>
      <c r="E36" s="327"/>
      <c r="F36" s="327"/>
      <c r="G36" s="327"/>
      <c r="H36" s="327"/>
      <c r="I36" s="327"/>
      <c r="J36" s="327"/>
      <c r="K36" s="327">
        <f>VLOOKUP($B36,재무제표!$A$10:$E$99,4,FALSE)</f>
        <v>0</v>
      </c>
      <c r="L36" s="328">
        <f t="shared" si="2"/>
        <v>0</v>
      </c>
    </row>
    <row r="37" spans="2:12" ht="15.6" customHeight="1">
      <c r="B37" s="327" t="str">
        <f>재무제표!A44</f>
        <v>5.차량운반구</v>
      </c>
      <c r="C37" s="327">
        <f>VLOOKUP($B37,재무제표!$A$10:$E$99,4,FALSE)</f>
        <v>0</v>
      </c>
      <c r="D37" s="327"/>
      <c r="E37" s="327"/>
      <c r="F37" s="327"/>
      <c r="G37" s="327"/>
      <c r="H37" s="327"/>
      <c r="I37" s="327"/>
      <c r="J37" s="327"/>
      <c r="K37" s="327">
        <f>VLOOKUP($B37,재무제표!$A$10:$E$99,4,FALSE)</f>
        <v>0</v>
      </c>
      <c r="L37" s="328">
        <f t="shared" si="2"/>
        <v>0</v>
      </c>
    </row>
    <row r="38" spans="2:12" ht="15.6" customHeight="1">
      <c r="B38" s="327" t="str">
        <f>재무제표!A45</f>
        <v>5.차량운반구감가상각누계액</v>
      </c>
      <c r="C38" s="327">
        <f>VLOOKUP($B38,재무제표!$A$10:$E$99,4,FALSE)</f>
        <v>0</v>
      </c>
      <c r="D38" s="327"/>
      <c r="E38" s="327"/>
      <c r="F38" s="327"/>
      <c r="G38" s="327"/>
      <c r="H38" s="327"/>
      <c r="I38" s="327"/>
      <c r="J38" s="327"/>
      <c r="K38" s="327">
        <f>VLOOKUP($B38,재무제표!$A$10:$E$99,4,FALSE)</f>
        <v>0</v>
      </c>
      <c r="L38" s="328">
        <f t="shared" si="2"/>
        <v>0</v>
      </c>
    </row>
    <row r="39" spans="2:12" ht="15.6" customHeight="1">
      <c r="B39" s="327" t="str">
        <f>재무제표!A46</f>
        <v>6.공구와기구</v>
      </c>
      <c r="C39" s="327">
        <f>VLOOKUP($B39,재무제표!$A$10:$E$99,4,FALSE)</f>
        <v>0</v>
      </c>
      <c r="D39" s="327"/>
      <c r="E39" s="327"/>
      <c r="F39" s="327"/>
      <c r="G39" s="327"/>
      <c r="H39" s="327"/>
      <c r="I39" s="327"/>
      <c r="J39" s="327"/>
      <c r="K39" s="327">
        <f>VLOOKUP($B39,재무제표!$A$10:$E$99,4,FALSE)</f>
        <v>0</v>
      </c>
      <c r="L39" s="328">
        <f t="shared" si="2"/>
        <v>0</v>
      </c>
    </row>
    <row r="40" spans="2:12" ht="15.6" customHeight="1">
      <c r="B40" s="327" t="str">
        <f>재무제표!A47</f>
        <v>6.공구와기구감가상각누계액</v>
      </c>
      <c r="C40" s="327">
        <f>VLOOKUP($B40,재무제표!$A$10:$E$99,4,FALSE)</f>
        <v>0</v>
      </c>
      <c r="D40" s="327"/>
      <c r="E40" s="327"/>
      <c r="F40" s="327"/>
      <c r="G40" s="327"/>
      <c r="H40" s="327"/>
      <c r="I40" s="327"/>
      <c r="J40" s="327"/>
      <c r="K40" s="327">
        <f>VLOOKUP($B40,재무제표!$A$10:$E$99,4,FALSE)</f>
        <v>0</v>
      </c>
      <c r="L40" s="328">
        <f t="shared" si="2"/>
        <v>0</v>
      </c>
    </row>
    <row r="41" spans="2:12" ht="15.6" customHeight="1">
      <c r="B41" s="327" t="str">
        <f>재무제표!A48</f>
        <v>7.비품</v>
      </c>
      <c r="C41" s="327">
        <f>VLOOKUP($B41,재무제표!$A$10:$E$99,4,FALSE)</f>
        <v>0</v>
      </c>
      <c r="D41" s="327"/>
      <c r="E41" s="327"/>
      <c r="F41" s="327"/>
      <c r="G41" s="327"/>
      <c r="H41" s="327"/>
      <c r="I41" s="327"/>
      <c r="J41" s="327"/>
      <c r="K41" s="327">
        <f>VLOOKUP($B41,재무제표!$A$10:$E$99,4,FALSE)</f>
        <v>0</v>
      </c>
      <c r="L41" s="328">
        <f t="shared" si="2"/>
        <v>0</v>
      </c>
    </row>
    <row r="42" spans="2:12" ht="15.6" customHeight="1">
      <c r="B42" s="327" t="str">
        <f>재무제표!A49</f>
        <v>7.비품감가상각누계액</v>
      </c>
      <c r="C42" s="327">
        <f>VLOOKUP($B42,재무제표!$A$10:$E$99,4,FALSE)</f>
        <v>0</v>
      </c>
      <c r="D42" s="327"/>
      <c r="E42" s="327"/>
      <c r="F42" s="327"/>
      <c r="G42" s="327"/>
      <c r="H42" s="327"/>
      <c r="I42" s="327"/>
      <c r="J42" s="327"/>
      <c r="K42" s="327">
        <f>VLOOKUP($B42,재무제표!$A$10:$E$99,4,FALSE)</f>
        <v>0</v>
      </c>
      <c r="L42" s="328">
        <f t="shared" si="2"/>
        <v>0</v>
      </c>
    </row>
    <row r="43" spans="2:12" ht="15.6" customHeight="1">
      <c r="B43" s="327" t="str">
        <f>재무제표!A50</f>
        <v>8.시설장치</v>
      </c>
      <c r="C43" s="327">
        <f>VLOOKUP($B43,재무제표!$A$10:$E$99,4,FALSE)</f>
        <v>0</v>
      </c>
      <c r="D43" s="327"/>
      <c r="E43" s="327"/>
      <c r="F43" s="327"/>
      <c r="G43" s="327"/>
      <c r="H43" s="327"/>
      <c r="I43" s="327"/>
      <c r="J43" s="327"/>
      <c r="K43" s="327">
        <f>VLOOKUP($B43,재무제표!$A$10:$E$99,4,FALSE)</f>
        <v>0</v>
      </c>
      <c r="L43" s="328">
        <f t="shared" si="2"/>
        <v>0</v>
      </c>
    </row>
    <row r="44" spans="2:12" ht="15.6" customHeight="1">
      <c r="B44" s="327" t="str">
        <f>재무제표!A51</f>
        <v>8.시설장치감가상각누계액</v>
      </c>
      <c r="C44" s="327">
        <f>VLOOKUP($B44,재무제표!$A$10:$E$99,4,FALSE)</f>
        <v>0</v>
      </c>
      <c r="D44" s="327"/>
      <c r="E44" s="327"/>
      <c r="F44" s="327"/>
      <c r="G44" s="327"/>
      <c r="H44" s="327"/>
      <c r="I44" s="327"/>
      <c r="J44" s="327"/>
      <c r="K44" s="327">
        <f>VLOOKUP($B44,재무제표!$A$10:$E$99,4,FALSE)</f>
        <v>0</v>
      </c>
      <c r="L44" s="328">
        <f t="shared" si="2"/>
        <v>0</v>
      </c>
    </row>
    <row r="45" spans="2:12" ht="15.6" customHeight="1">
      <c r="B45" s="327" t="str">
        <f>재무제표!A52</f>
        <v>9.금형</v>
      </c>
      <c r="C45" s="327">
        <f>VLOOKUP($B45,재무제표!$A$10:$E$99,4,FALSE)</f>
        <v>0</v>
      </c>
      <c r="D45" s="327"/>
      <c r="E45" s="327"/>
      <c r="F45" s="327"/>
      <c r="G45" s="327"/>
      <c r="H45" s="327"/>
      <c r="I45" s="327"/>
      <c r="J45" s="327"/>
      <c r="K45" s="327">
        <f>VLOOKUP($B45,재무제표!$A$10:$E$99,4,FALSE)</f>
        <v>0</v>
      </c>
      <c r="L45" s="328">
        <f t="shared" si="2"/>
        <v>0</v>
      </c>
    </row>
    <row r="46" spans="2:12" ht="15.6" customHeight="1">
      <c r="B46" s="327" t="str">
        <f>재무제표!A53</f>
        <v>9.금형감가상각누계액</v>
      </c>
      <c r="C46" s="327">
        <f>VLOOKUP($B46,재무제표!$A$10:$E$99,4,FALSE)</f>
        <v>0</v>
      </c>
      <c r="D46" s="327"/>
      <c r="E46" s="327"/>
      <c r="F46" s="327"/>
      <c r="G46" s="327"/>
      <c r="H46" s="327"/>
      <c r="I46" s="327"/>
      <c r="J46" s="327"/>
      <c r="K46" s="327">
        <f>VLOOKUP($B46,재무제표!$A$10:$E$99,4,FALSE)</f>
        <v>0</v>
      </c>
      <c r="L46" s="328">
        <f t="shared" si="2"/>
        <v>0</v>
      </c>
    </row>
    <row r="47" spans="2:12" ht="15.6" customHeight="1">
      <c r="B47" s="327" t="str">
        <f>재무제표!A54</f>
        <v>(3)무형자산(주석2,11)</v>
      </c>
      <c r="C47" s="327">
        <f>SUM(C48:C50)</f>
        <v>0</v>
      </c>
      <c r="D47" s="327"/>
      <c r="E47" s="327"/>
      <c r="F47" s="327"/>
      <c r="G47" s="327"/>
      <c r="H47" s="327"/>
      <c r="I47" s="327"/>
      <c r="J47" s="327"/>
      <c r="K47" s="327">
        <f>SUM(K48:K50)</f>
        <v>0</v>
      </c>
      <c r="L47" s="328">
        <f>SUM(L48:L50)</f>
        <v>0</v>
      </c>
    </row>
    <row r="48" spans="2:12" ht="15.6" customHeight="1">
      <c r="B48" s="327" t="str">
        <f>재무제표!A55</f>
        <v>1.특허권</v>
      </c>
      <c r="C48" s="327">
        <f>VLOOKUP($B48,재무제표!$A$10:$E$99,4,FALSE)</f>
        <v>0</v>
      </c>
      <c r="D48" s="327"/>
      <c r="E48" s="327"/>
      <c r="F48" s="327"/>
      <c r="G48" s="327"/>
      <c r="H48" s="327"/>
      <c r="I48" s="327"/>
      <c r="J48" s="327"/>
      <c r="K48" s="327">
        <f>VLOOKUP($B48,재무제표!$A$10:$E$99,4,FALSE)</f>
        <v>0</v>
      </c>
      <c r="L48" s="328">
        <f t="shared" si="2"/>
        <v>0</v>
      </c>
    </row>
    <row r="49" spans="2:12" ht="15.6" customHeight="1">
      <c r="B49" s="327" t="str">
        <f>재무제표!A56</f>
        <v>2.영업권</v>
      </c>
      <c r="C49" s="327">
        <f>VLOOKUP($B49,재무제표!$A$10:$E$99,4,FALSE)</f>
        <v>0</v>
      </c>
      <c r="D49" s="327"/>
      <c r="E49" s="327"/>
      <c r="F49" s="327"/>
      <c r="G49" s="327"/>
      <c r="H49" s="327"/>
      <c r="I49" s="327"/>
      <c r="J49" s="327"/>
      <c r="K49" s="327">
        <f>VLOOKUP($B49,재무제표!$A$10:$E$99,4,FALSE)</f>
        <v>0</v>
      </c>
      <c r="L49" s="328">
        <f t="shared" si="2"/>
        <v>0</v>
      </c>
    </row>
    <row r="50" spans="2:12" ht="15.6" customHeight="1">
      <c r="B50" s="327" t="str">
        <f>재무제표!A57</f>
        <v>3.개발비</v>
      </c>
      <c r="C50" s="327">
        <f>VLOOKUP($B50,재무제표!$A$10:$E$99,4,FALSE)</f>
        <v>0</v>
      </c>
      <c r="D50" s="327"/>
      <c r="E50" s="327"/>
      <c r="F50" s="327"/>
      <c r="G50" s="327"/>
      <c r="H50" s="327"/>
      <c r="I50" s="327"/>
      <c r="J50" s="327"/>
      <c r="K50" s="327">
        <f>VLOOKUP($B50,재무제표!$A$10:$E$99,4,FALSE)</f>
        <v>0</v>
      </c>
      <c r="L50" s="328">
        <f t="shared" si="2"/>
        <v>0</v>
      </c>
    </row>
    <row r="51" spans="2:12" ht="15.6" customHeight="1">
      <c r="B51" s="327" t="str">
        <f>재무제표!A58</f>
        <v>(4)기타비유동자산</v>
      </c>
      <c r="C51" s="327">
        <f>SUM(C52:C54)</f>
        <v>0</v>
      </c>
      <c r="D51" s="327"/>
      <c r="E51" s="327"/>
      <c r="F51" s="327"/>
      <c r="G51" s="327"/>
      <c r="H51" s="327"/>
      <c r="I51" s="327"/>
      <c r="J51" s="327"/>
      <c r="K51" s="327">
        <f>SUM(K52:K54)</f>
        <v>0</v>
      </c>
      <c r="L51" s="328">
        <f>SUM(L52:L54)</f>
        <v>0</v>
      </c>
    </row>
    <row r="52" spans="2:12" ht="15.6" customHeight="1">
      <c r="B52" s="327" t="str">
        <f>재무제표!A59</f>
        <v>1.보증금</v>
      </c>
      <c r="C52" s="327">
        <f>VLOOKUP($B52,재무제표!$A$10:$E$99,4,FALSE)</f>
        <v>0</v>
      </c>
      <c r="D52" s="327"/>
      <c r="E52" s="327"/>
      <c r="F52" s="327"/>
      <c r="G52" s="327"/>
      <c r="H52" s="327"/>
      <c r="I52" s="327"/>
      <c r="J52" s="327"/>
      <c r="K52" s="327">
        <f>VLOOKUP($B52,재무제표!$A$10:$E$99,4,FALSE)</f>
        <v>0</v>
      </c>
      <c r="L52" s="328">
        <f t="shared" si="2"/>
        <v>0</v>
      </c>
    </row>
    <row r="53" spans="2:12" ht="15.6" customHeight="1">
      <c r="B53" s="327" t="str">
        <f>재무제표!A60</f>
        <v>2.회원권</v>
      </c>
      <c r="C53" s="327">
        <f>VLOOKUP($B53,재무제표!$A$10:$E$99,4,FALSE)</f>
        <v>0</v>
      </c>
      <c r="D53" s="327"/>
      <c r="E53" s="327"/>
      <c r="F53" s="327"/>
      <c r="G53" s="327"/>
      <c r="H53" s="327"/>
      <c r="I53" s="327"/>
      <c r="J53" s="327"/>
      <c r="K53" s="327">
        <f>VLOOKUP($B53,재무제표!$A$10:$E$99,4,FALSE)</f>
        <v>0</v>
      </c>
      <c r="L53" s="328">
        <f t="shared" si="2"/>
        <v>0</v>
      </c>
    </row>
    <row r="54" spans="2:12" ht="15.6" customHeight="1">
      <c r="B54" s="330" t="str">
        <f>재무제표!A61</f>
        <v>3.이연법인세자산(주석2,15)</v>
      </c>
      <c r="C54" s="330">
        <f>VLOOKUP($B54,재무제표!$A$10:$E$99,4,FALSE)</f>
        <v>0</v>
      </c>
      <c r="D54" s="330"/>
      <c r="E54" s="330"/>
      <c r="F54" s="330"/>
      <c r="G54" s="330"/>
      <c r="H54" s="330"/>
      <c r="I54" s="330"/>
      <c r="J54" s="330"/>
      <c r="K54" s="330">
        <f>VLOOKUP($B54,재무제표!$A$10:$E$99,4,FALSE)</f>
        <v>0</v>
      </c>
      <c r="L54" s="332">
        <f t="shared" ref="L54:L89" si="3">C54-F54+J54-K54</f>
        <v>0</v>
      </c>
    </row>
    <row r="55" spans="2:12" ht="15.6" customHeight="1">
      <c r="B55" s="323" t="str">
        <f>재무제표!A62</f>
        <v>자      산      총      계</v>
      </c>
      <c r="C55" s="323">
        <f>SUM(C4,C23)</f>
        <v>0</v>
      </c>
      <c r="D55" s="323"/>
      <c r="E55" s="323"/>
      <c r="F55" s="323"/>
      <c r="G55" s="323"/>
      <c r="H55" s="323"/>
      <c r="I55" s="323"/>
      <c r="J55" s="323"/>
      <c r="K55" s="323">
        <f>SUM(K4,K23)</f>
        <v>0</v>
      </c>
      <c r="L55" s="324">
        <f>SUM(L4,L23)</f>
        <v>0</v>
      </c>
    </row>
    <row r="56" spans="2:12" ht="15.6" customHeight="1">
      <c r="B56" s="320" t="str">
        <f>재무제표!A63</f>
        <v>부                        채</v>
      </c>
      <c r="C56" s="320" t="str">
        <f>재무제표!D63</f>
        <v>　</v>
      </c>
      <c r="D56" s="320"/>
      <c r="E56" s="320"/>
      <c r="F56" s="320"/>
      <c r="G56" s="320"/>
      <c r="H56" s="320"/>
      <c r="I56" s="320"/>
      <c r="J56" s="320"/>
      <c r="K56" s="320" t="str">
        <f>재무제표!B63</f>
        <v>　</v>
      </c>
      <c r="L56" s="322"/>
    </row>
    <row r="57" spans="2:12" ht="15.6" customHeight="1">
      <c r="B57" s="333" t="str">
        <f>재무제표!A64</f>
        <v>I.유동부채</v>
      </c>
      <c r="C57" s="333">
        <f>SUM(C58:C66)</f>
        <v>0</v>
      </c>
      <c r="D57" s="333"/>
      <c r="E57" s="333"/>
      <c r="F57" s="333"/>
      <c r="G57" s="333"/>
      <c r="H57" s="333"/>
      <c r="I57" s="333"/>
      <c r="J57" s="333"/>
      <c r="K57" s="333">
        <f>SUM(K58:K66)</f>
        <v>0</v>
      </c>
      <c r="L57" s="334">
        <f>SUM(L58:L66)</f>
        <v>0</v>
      </c>
    </row>
    <row r="58" spans="2:12" ht="15.6" customHeight="1">
      <c r="B58" s="327" t="str">
        <f>재무제표!A65</f>
        <v>1.매입채무(주석8,17)</v>
      </c>
      <c r="C58" s="327">
        <f>VLOOKUP($B58,재무제표!$A$10:$E$99,4,FALSE)</f>
        <v>0</v>
      </c>
      <c r="D58" s="327"/>
      <c r="E58" s="327"/>
      <c r="F58" s="327"/>
      <c r="G58" s="327"/>
      <c r="H58" s="327"/>
      <c r="I58" s="327"/>
      <c r="J58" s="327"/>
      <c r="K58" s="327">
        <f>VLOOKUP($B58,재무제표!$A$10:$E$99,4,FALSE)</f>
        <v>0</v>
      </c>
      <c r="L58" s="328">
        <f t="shared" si="3"/>
        <v>0</v>
      </c>
    </row>
    <row r="59" spans="2:12" ht="15.6" customHeight="1">
      <c r="B59" s="327" t="str">
        <f>재무제표!A66</f>
        <v>2.미지급금</v>
      </c>
      <c r="C59" s="327">
        <f>VLOOKUP($B59,재무제표!$A$10:$E$99,4,FALSE)</f>
        <v>0</v>
      </c>
      <c r="D59" s="327"/>
      <c r="E59" s="327"/>
      <c r="F59" s="327"/>
      <c r="G59" s="327"/>
      <c r="H59" s="327"/>
      <c r="I59" s="327"/>
      <c r="J59" s="327"/>
      <c r="K59" s="327">
        <f>VLOOKUP($B59,재무제표!$A$10:$E$99,4,FALSE)</f>
        <v>0</v>
      </c>
      <c r="L59" s="328">
        <f t="shared" si="3"/>
        <v>0</v>
      </c>
    </row>
    <row r="60" spans="2:12" ht="15.6" customHeight="1">
      <c r="B60" s="327" t="str">
        <f>재무제표!A67</f>
        <v>3.예수금</v>
      </c>
      <c r="C60" s="327">
        <f>VLOOKUP($B60,재무제표!$A$10:$E$99,4,FALSE)</f>
        <v>0</v>
      </c>
      <c r="D60" s="327"/>
      <c r="E60" s="327"/>
      <c r="F60" s="327"/>
      <c r="G60" s="327"/>
      <c r="H60" s="327"/>
      <c r="I60" s="327"/>
      <c r="J60" s="327"/>
      <c r="K60" s="327">
        <f>VLOOKUP($B60,재무제표!$A$10:$E$99,4,FALSE)</f>
        <v>0</v>
      </c>
      <c r="L60" s="328">
        <f t="shared" si="3"/>
        <v>0</v>
      </c>
    </row>
    <row r="61" spans="2:12" ht="15.6" customHeight="1">
      <c r="B61" s="327" t="str">
        <f>재무제표!A68</f>
        <v>4.부가세예수금</v>
      </c>
      <c r="C61" s="327">
        <f>VLOOKUP($B61,재무제표!$A$10:$E$99,4,FALSE)</f>
        <v>0</v>
      </c>
      <c r="D61" s="327"/>
      <c r="E61" s="327"/>
      <c r="F61" s="327"/>
      <c r="G61" s="327"/>
      <c r="H61" s="327"/>
      <c r="I61" s="327"/>
      <c r="J61" s="327"/>
      <c r="K61" s="327">
        <f>VLOOKUP($B61,재무제표!$A$10:$E$99,4,FALSE)</f>
        <v>0</v>
      </c>
      <c r="L61" s="328">
        <f t="shared" si="3"/>
        <v>0</v>
      </c>
    </row>
    <row r="62" spans="2:12" ht="15.6" customHeight="1">
      <c r="B62" s="327" t="str">
        <f>재무제표!A69</f>
        <v>5.선수금</v>
      </c>
      <c r="C62" s="327">
        <f>VLOOKUP($B62,재무제표!$A$10:$E$99,4,FALSE)</f>
        <v>0</v>
      </c>
      <c r="D62" s="327"/>
      <c r="E62" s="327"/>
      <c r="F62" s="327"/>
      <c r="G62" s="327"/>
      <c r="H62" s="327"/>
      <c r="I62" s="327"/>
      <c r="J62" s="327"/>
      <c r="K62" s="327">
        <f>VLOOKUP($B62,재무제표!$A$10:$E$99,4,FALSE)</f>
        <v>0</v>
      </c>
      <c r="L62" s="328">
        <f t="shared" si="3"/>
        <v>0</v>
      </c>
    </row>
    <row r="63" spans="2:12" ht="15.6" customHeight="1">
      <c r="B63" s="327" t="str">
        <f>재무제표!A70</f>
        <v>6.단기차입금(주석12)</v>
      </c>
      <c r="C63" s="327">
        <f>VLOOKUP($B63,재무제표!$A$10:$E$99,4,FALSE)</f>
        <v>0</v>
      </c>
      <c r="D63" s="327"/>
      <c r="E63" s="327"/>
      <c r="F63" s="327"/>
      <c r="G63" s="327"/>
      <c r="H63" s="327"/>
      <c r="I63" s="327"/>
      <c r="J63" s="327"/>
      <c r="K63" s="327">
        <f>VLOOKUP($B63,재무제표!$A$10:$E$99,4,FALSE)</f>
        <v>0</v>
      </c>
      <c r="L63" s="328">
        <f t="shared" si="3"/>
        <v>0</v>
      </c>
    </row>
    <row r="64" spans="2:12" ht="15.6" customHeight="1">
      <c r="B64" s="327" t="str">
        <f>재무제표!A71</f>
        <v>7.미지급비용</v>
      </c>
      <c r="C64" s="327">
        <f>VLOOKUP($B64,재무제표!$A$10:$E$99,4,FALSE)</f>
        <v>0</v>
      </c>
      <c r="D64" s="327"/>
      <c r="E64" s="327"/>
      <c r="F64" s="327"/>
      <c r="G64" s="327"/>
      <c r="H64" s="327"/>
      <c r="I64" s="327"/>
      <c r="J64" s="327"/>
      <c r="K64" s="327">
        <f>VLOOKUP($B64,재무제표!$A$10:$E$99,4,FALSE)</f>
        <v>0</v>
      </c>
      <c r="L64" s="328">
        <f t="shared" si="3"/>
        <v>0</v>
      </c>
    </row>
    <row r="65" spans="2:12" ht="15.6" customHeight="1">
      <c r="B65" s="327" t="str">
        <f>재무제표!A72</f>
        <v>8.유동성장기부채(주석12)</v>
      </c>
      <c r="C65" s="327">
        <f>VLOOKUP($B65,재무제표!$A$10:$E$99,4,FALSE)</f>
        <v>0</v>
      </c>
      <c r="D65" s="327"/>
      <c r="E65" s="327"/>
      <c r="F65" s="327"/>
      <c r="G65" s="327"/>
      <c r="H65" s="327"/>
      <c r="I65" s="327"/>
      <c r="J65" s="327"/>
      <c r="K65" s="327">
        <f>VLOOKUP($B65,재무제표!$A$10:$E$99,4,FALSE)</f>
        <v>0</v>
      </c>
      <c r="L65" s="328">
        <f t="shared" si="3"/>
        <v>0</v>
      </c>
    </row>
    <row r="66" spans="2:12" ht="15.6" customHeight="1">
      <c r="B66" s="330" t="str">
        <f>재무제표!A73</f>
        <v>9.이연법인세부채(주석2,15)</v>
      </c>
      <c r="C66" s="330">
        <f>VLOOKUP($B66,재무제표!$A$10:$E$99,4,FALSE)</f>
        <v>0</v>
      </c>
      <c r="D66" s="330"/>
      <c r="E66" s="330"/>
      <c r="F66" s="330"/>
      <c r="G66" s="330"/>
      <c r="H66" s="330"/>
      <c r="I66" s="330"/>
      <c r="J66" s="330"/>
      <c r="K66" s="330">
        <f>VLOOKUP($B66,재무제표!$A$10:$E$99,4,FALSE)</f>
        <v>0</v>
      </c>
      <c r="L66" s="332">
        <f t="shared" si="3"/>
        <v>0</v>
      </c>
    </row>
    <row r="67" spans="2:12" ht="15.6" customHeight="1">
      <c r="B67" s="333" t="str">
        <f>재무제표!A74</f>
        <v>II.비유동부채</v>
      </c>
      <c r="C67" s="333">
        <f>SUM(C68:C73)</f>
        <v>0</v>
      </c>
      <c r="D67" s="333"/>
      <c r="E67" s="333"/>
      <c r="F67" s="335"/>
      <c r="G67" s="333"/>
      <c r="H67" s="333"/>
      <c r="I67" s="333"/>
      <c r="J67" s="335"/>
      <c r="K67" s="333">
        <f>SUM(K68:K73)</f>
        <v>0</v>
      </c>
      <c r="L67" s="334">
        <f>SUM(L68:L73)</f>
        <v>0</v>
      </c>
    </row>
    <row r="68" spans="2:12" ht="15.6" customHeight="1">
      <c r="B68" s="327" t="str">
        <f>재무제표!A75</f>
        <v>1.장기차입금(주석12,20)</v>
      </c>
      <c r="C68" s="327">
        <f>VLOOKUP($B68,재무제표!$A$10:$E$99,4,FALSE)</f>
        <v>0</v>
      </c>
      <c r="D68" s="327"/>
      <c r="E68" s="327"/>
      <c r="F68" s="327"/>
      <c r="G68" s="327"/>
      <c r="H68" s="327"/>
      <c r="I68" s="327"/>
      <c r="J68" s="327"/>
      <c r="K68" s="327">
        <f>VLOOKUP($B68,재무제표!$A$10:$E$99,4,FALSE)</f>
        <v>0</v>
      </c>
      <c r="L68" s="328">
        <f t="shared" si="3"/>
        <v>0</v>
      </c>
    </row>
    <row r="69" spans="2:12" ht="15.6" customHeight="1">
      <c r="B69" s="327" t="str">
        <f>재무제표!A76</f>
        <v>2.수입보증금</v>
      </c>
      <c r="C69" s="327">
        <f>VLOOKUP($B69,재무제표!$A$10:$E$99,4,FALSE)</f>
        <v>0</v>
      </c>
      <c r="D69" s="327"/>
      <c r="E69" s="327"/>
      <c r="F69" s="327"/>
      <c r="G69" s="327"/>
      <c r="H69" s="327"/>
      <c r="I69" s="327"/>
      <c r="J69" s="327"/>
      <c r="K69" s="327">
        <f>VLOOKUP($B69,재무제표!$A$10:$E$99,4,FALSE)</f>
        <v>0</v>
      </c>
      <c r="L69" s="328">
        <f t="shared" si="3"/>
        <v>0</v>
      </c>
    </row>
    <row r="70" spans="2:12" ht="15.6" customHeight="1">
      <c r="B70" s="327" t="str">
        <f>재무제표!A77</f>
        <v>3.퇴직급여충당부채(주석2)</v>
      </c>
      <c r="C70" s="327">
        <f>VLOOKUP($B70,재무제표!$A$10:$E$99,4,FALSE)</f>
        <v>0</v>
      </c>
      <c r="D70" s="327"/>
      <c r="E70" s="327"/>
      <c r="F70" s="327"/>
      <c r="G70" s="327"/>
      <c r="H70" s="327"/>
      <c r="I70" s="327"/>
      <c r="J70" s="327"/>
      <c r="K70" s="327">
        <f>VLOOKUP($B70,재무제표!$A$10:$E$99,4,FALSE)</f>
        <v>0</v>
      </c>
      <c r="L70" s="328">
        <f t="shared" si="3"/>
        <v>0</v>
      </c>
    </row>
    <row r="71" spans="2:12" ht="15.6" customHeight="1">
      <c r="B71" s="327" t="str">
        <f>재무제표!A78</f>
        <v xml:space="preserve">  퇴직보험예치금</v>
      </c>
      <c r="C71" s="327">
        <f>VLOOKUP($B71,재무제표!$A$10:$E$99,4,FALSE)</f>
        <v>0</v>
      </c>
      <c r="D71" s="327"/>
      <c r="E71" s="327"/>
      <c r="F71" s="327"/>
      <c r="G71" s="327"/>
      <c r="H71" s="327"/>
      <c r="I71" s="327"/>
      <c r="J71" s="327"/>
      <c r="K71" s="327">
        <f>VLOOKUP($B71,재무제표!$A$10:$E$99,4,FALSE)</f>
        <v>0</v>
      </c>
      <c r="L71" s="328">
        <f t="shared" si="3"/>
        <v>0</v>
      </c>
    </row>
    <row r="72" spans="2:12" ht="15.6" customHeight="1">
      <c r="B72" s="327" t="str">
        <f>재무제표!A79</f>
        <v xml:space="preserve"> 국민연금전환금</v>
      </c>
      <c r="C72" s="327">
        <f>VLOOKUP($B72,재무제표!$A$10:$E$99,4,FALSE)</f>
        <v>0</v>
      </c>
      <c r="D72" s="327"/>
      <c r="E72" s="327"/>
      <c r="F72" s="327"/>
      <c r="G72" s="327"/>
      <c r="H72" s="327"/>
      <c r="I72" s="327"/>
      <c r="J72" s="327"/>
      <c r="K72" s="327">
        <f>VLOOKUP($B72,재무제표!$A$10:$E$99,4,FALSE)</f>
        <v>0</v>
      </c>
      <c r="L72" s="328">
        <f t="shared" si="3"/>
        <v>0</v>
      </c>
    </row>
    <row r="73" spans="2:12" ht="15.6" customHeight="1">
      <c r="B73" s="330" t="str">
        <f>재무제표!A80</f>
        <v>4.이연법인세부채</v>
      </c>
      <c r="C73" s="330">
        <f>VLOOKUP($B73,재무제표!$A$10:$E$99,4,FALSE)</f>
        <v>0</v>
      </c>
      <c r="D73" s="330"/>
      <c r="E73" s="330"/>
      <c r="F73" s="330"/>
      <c r="G73" s="330"/>
      <c r="H73" s="330"/>
      <c r="I73" s="330"/>
      <c r="J73" s="330"/>
      <c r="K73" s="330">
        <f>VLOOKUP($B73,재무제표!$A$10:$E$99,4,FALSE)</f>
        <v>0</v>
      </c>
      <c r="L73" s="332">
        <f t="shared" si="3"/>
        <v>0</v>
      </c>
    </row>
    <row r="74" spans="2:12" ht="15.6" customHeight="1">
      <c r="B74" s="323" t="str">
        <f>재무제표!A81</f>
        <v>부      채      총      계</v>
      </c>
      <c r="C74" s="323">
        <f>SUM(C57,C67)</f>
        <v>0</v>
      </c>
      <c r="D74" s="323"/>
      <c r="E74" s="323"/>
      <c r="F74" s="323"/>
      <c r="G74" s="323"/>
      <c r="H74" s="323"/>
      <c r="I74" s="323"/>
      <c r="J74" s="323"/>
      <c r="K74" s="323">
        <f>SUM(K57,K67)</f>
        <v>0</v>
      </c>
      <c r="L74" s="324">
        <f>SUM(L57,L67)</f>
        <v>0</v>
      </c>
    </row>
    <row r="75" spans="2:12" ht="15.6" customHeight="1">
      <c r="B75" s="320" t="str">
        <f>재무제표!A82</f>
        <v>자                        본</v>
      </c>
      <c r="C75" s="320" t="str">
        <f>재무제표!D82</f>
        <v>　</v>
      </c>
      <c r="D75" s="320"/>
      <c r="E75" s="320"/>
      <c r="F75" s="320"/>
      <c r="G75" s="320"/>
      <c r="H75" s="320"/>
      <c r="I75" s="320"/>
      <c r="J75" s="320"/>
      <c r="K75" s="320" t="str">
        <f>재무제표!B82</f>
        <v>　</v>
      </c>
      <c r="L75" s="322"/>
    </row>
    <row r="76" spans="2:12" ht="15.6" customHeight="1">
      <c r="B76" s="323" t="str">
        <f>재무제표!A83</f>
        <v>I.자본금(주석1,14)</v>
      </c>
      <c r="C76" s="323">
        <f>SUM(C77)</f>
        <v>0</v>
      </c>
      <c r="D76" s="323"/>
      <c r="E76" s="323"/>
      <c r="F76" s="323"/>
      <c r="G76" s="323"/>
      <c r="H76" s="323"/>
      <c r="I76" s="323"/>
      <c r="J76" s="323"/>
      <c r="K76" s="323">
        <f>SUM(K77)</f>
        <v>0</v>
      </c>
      <c r="L76" s="324">
        <f>SUM(L77)</f>
        <v>0</v>
      </c>
    </row>
    <row r="77" spans="2:12" ht="15.6" customHeight="1">
      <c r="B77" s="320" t="str">
        <f>재무제표!A84</f>
        <v>1.보통주자본금</v>
      </c>
      <c r="C77" s="320">
        <f>VLOOKUP($B77,재무제표!$A$10:$E$99,4,FALSE)</f>
        <v>0</v>
      </c>
      <c r="D77" s="320"/>
      <c r="E77" s="320"/>
      <c r="F77" s="320"/>
      <c r="G77" s="320"/>
      <c r="H77" s="320"/>
      <c r="I77" s="320"/>
      <c r="J77" s="320"/>
      <c r="K77" s="320">
        <f>VLOOKUP($B77,재무제표!$A$10:$E$99,4,FALSE)</f>
        <v>0</v>
      </c>
      <c r="L77" s="322">
        <f t="shared" si="3"/>
        <v>0</v>
      </c>
    </row>
    <row r="78" spans="2:12" ht="15.6" customHeight="1">
      <c r="B78" s="323" t="str">
        <f>재무제표!A85</f>
        <v>II.자본잉여금(주석14)</v>
      </c>
      <c r="C78" s="323">
        <f>SUM(C79)</f>
        <v>0</v>
      </c>
      <c r="D78" s="323"/>
      <c r="E78" s="323"/>
      <c r="F78" s="323"/>
      <c r="G78" s="323"/>
      <c r="H78" s="323"/>
      <c r="I78" s="323"/>
      <c r="J78" s="323"/>
      <c r="K78" s="323">
        <f>SUM(K79)</f>
        <v>0</v>
      </c>
      <c r="L78" s="324">
        <f>SUM(L79)</f>
        <v>0</v>
      </c>
    </row>
    <row r="79" spans="2:12" ht="15.6" customHeight="1">
      <c r="B79" s="320" t="str">
        <f>재무제표!A86</f>
        <v>1.합병차익</v>
      </c>
      <c r="C79" s="320">
        <f>VLOOKUP($B79,재무제표!$A$10:$E$99,4,FALSE)</f>
        <v>0</v>
      </c>
      <c r="D79" s="320"/>
      <c r="E79" s="320"/>
      <c r="F79" s="320"/>
      <c r="G79" s="320"/>
      <c r="H79" s="320"/>
      <c r="I79" s="320"/>
      <c r="J79" s="320"/>
      <c r="K79" s="320">
        <f>VLOOKUP($B79,재무제표!$A$10:$E$99,4,FALSE)</f>
        <v>0</v>
      </c>
      <c r="L79" s="322">
        <f t="shared" si="3"/>
        <v>0</v>
      </c>
    </row>
    <row r="80" spans="2:12" ht="15.6" customHeight="1">
      <c r="B80" s="323" t="str">
        <f>재무제표!A87</f>
        <v>III.기타포괄손익누계액(주석21,22)</v>
      </c>
      <c r="C80" s="323">
        <f>SUM(C81:C83)</f>
        <v>0</v>
      </c>
      <c r="D80" s="323"/>
      <c r="E80" s="323"/>
      <c r="F80" s="323"/>
      <c r="G80" s="323"/>
      <c r="H80" s="323"/>
      <c r="I80" s="323"/>
      <c r="J80" s="323"/>
      <c r="K80" s="323">
        <f>SUM(K81:K83)</f>
        <v>0</v>
      </c>
      <c r="L80" s="324">
        <f>SUM(L81:L83)</f>
        <v>0</v>
      </c>
    </row>
    <row r="81" spans="1:12" ht="15.6" customHeight="1">
      <c r="B81" s="325" t="str">
        <f>재무제표!A88</f>
        <v>1.매도가능증권평가이익</v>
      </c>
      <c r="C81" s="325">
        <f>VLOOKUP($B81,재무제표!$A$10:$E$99,4,FALSE)</f>
        <v>0</v>
      </c>
      <c r="D81" s="325"/>
      <c r="E81" s="325"/>
      <c r="F81" s="325"/>
      <c r="G81" s="325"/>
      <c r="H81" s="325"/>
      <c r="I81" s="325"/>
      <c r="J81" s="325"/>
      <c r="K81" s="325">
        <f>VLOOKUP($B81,재무제표!$A$10:$E$99,4,FALSE)</f>
        <v>0</v>
      </c>
      <c r="L81" s="326">
        <f t="shared" si="3"/>
        <v>0</v>
      </c>
    </row>
    <row r="82" spans="1:12" ht="15.6" customHeight="1">
      <c r="B82" s="327" t="str">
        <f>재무제표!A89</f>
        <v>2.지분법자본변동</v>
      </c>
      <c r="C82" s="327">
        <f>VLOOKUP($B82,재무제표!$A$10:$E$99,4,FALSE)</f>
        <v>0</v>
      </c>
      <c r="D82" s="327"/>
      <c r="E82" s="327"/>
      <c r="F82" s="327"/>
      <c r="G82" s="327"/>
      <c r="H82" s="327"/>
      <c r="I82" s="327"/>
      <c r="J82" s="327"/>
      <c r="K82" s="327">
        <f>VLOOKUP($B82,재무제표!$A$10:$E$99,4,FALSE)</f>
        <v>0</v>
      </c>
      <c r="L82" s="328">
        <f t="shared" si="3"/>
        <v>0</v>
      </c>
    </row>
    <row r="83" spans="1:12" ht="15.6" customHeight="1">
      <c r="B83" s="330" t="str">
        <f>재무제표!A90</f>
        <v>3.토지재평가차익</v>
      </c>
      <c r="C83" s="330">
        <f>VLOOKUP($B83,재무제표!$A$10:$E$99,4,FALSE)</f>
        <v>0</v>
      </c>
      <c r="D83" s="330"/>
      <c r="E83" s="330"/>
      <c r="F83" s="330"/>
      <c r="G83" s="330"/>
      <c r="H83" s="330"/>
      <c r="I83" s="330"/>
      <c r="J83" s="330"/>
      <c r="K83" s="330">
        <f>VLOOKUP($B83,재무제표!$A$10:$E$99,4,FALSE)</f>
        <v>0</v>
      </c>
      <c r="L83" s="332">
        <f t="shared" si="3"/>
        <v>0</v>
      </c>
    </row>
    <row r="84" spans="1:12" ht="15.6" customHeight="1">
      <c r="B84" s="323" t="str">
        <f>재무제표!A91</f>
        <v>IV.이익잉여금(주석14)</v>
      </c>
      <c r="C84" s="323">
        <f>SUM(C85:C89)</f>
        <v>0</v>
      </c>
      <c r="D84" s="323"/>
      <c r="E84" s="323"/>
      <c r="F84" s="323"/>
      <c r="G84" s="323"/>
      <c r="H84" s="323"/>
      <c r="I84" s="323"/>
      <c r="J84" s="323"/>
      <c r="K84" s="323">
        <f>SUM(K85:K89)</f>
        <v>0</v>
      </c>
      <c r="L84" s="324">
        <f>SUM(L85:L89)</f>
        <v>0</v>
      </c>
    </row>
    <row r="85" spans="1:12" ht="15.6" customHeight="1">
      <c r="B85" s="325" t="str">
        <f>재무제표!A92</f>
        <v>1.이익준비금</v>
      </c>
      <c r="C85" s="325">
        <f>VLOOKUP($B85,재무제표!$A$10:$E$99,4,FALSE)</f>
        <v>0</v>
      </c>
      <c r="D85" s="325"/>
      <c r="E85" s="325"/>
      <c r="F85" s="325"/>
      <c r="G85" s="325"/>
      <c r="H85" s="325"/>
      <c r="I85" s="325"/>
      <c r="J85" s="325"/>
      <c r="K85" s="325">
        <f>VLOOKUP($B85,재무제표!$A$10:$E$99,4,FALSE)</f>
        <v>0</v>
      </c>
      <c r="L85" s="326">
        <f t="shared" si="3"/>
        <v>0</v>
      </c>
    </row>
    <row r="86" spans="1:12" ht="15.6" customHeight="1">
      <c r="B86" s="327" t="str">
        <f>재무제표!A93</f>
        <v>2.기업합리화적립금</v>
      </c>
      <c r="C86" s="327">
        <f>VLOOKUP($B86,재무제표!$A$10:$E$99,4,FALSE)</f>
        <v>0</v>
      </c>
      <c r="D86" s="327"/>
      <c r="E86" s="327"/>
      <c r="F86" s="327"/>
      <c r="G86" s="327"/>
      <c r="H86" s="327"/>
      <c r="I86" s="327"/>
      <c r="J86" s="327"/>
      <c r="K86" s="327">
        <f>VLOOKUP($B86,재무제표!$A$10:$E$99,4,FALSE)</f>
        <v>0</v>
      </c>
      <c r="L86" s="328">
        <f t="shared" si="3"/>
        <v>0</v>
      </c>
    </row>
    <row r="87" spans="1:12" ht="15.6" customHeight="1">
      <c r="B87" s="327" t="str">
        <f>재무제표!A94</f>
        <v>3.임의적립금</v>
      </c>
      <c r="C87" s="327">
        <f>VLOOKUP($B87,재무제표!$A$10:$E$99,4,FALSE)</f>
        <v>0</v>
      </c>
      <c r="D87" s="327"/>
      <c r="E87" s="327"/>
      <c r="F87" s="327"/>
      <c r="G87" s="327"/>
      <c r="H87" s="327"/>
      <c r="I87" s="327"/>
      <c r="J87" s="327"/>
      <c r="K87" s="327">
        <f>VLOOKUP($B87,재무제표!$A$10:$E$99,4,FALSE)</f>
        <v>0</v>
      </c>
      <c r="L87" s="328">
        <f t="shared" si="3"/>
        <v>0</v>
      </c>
    </row>
    <row r="88" spans="1:12" ht="15.6" customHeight="1">
      <c r="B88" s="327" t="str">
        <f>재무제표!A95</f>
        <v>4.중소기업투자준비금</v>
      </c>
      <c r="C88" s="327">
        <f>VLOOKUP($B88,재무제표!$A$10:$E$99,4,FALSE)</f>
        <v>0</v>
      </c>
      <c r="D88" s="327"/>
      <c r="E88" s="327"/>
      <c r="F88" s="327"/>
      <c r="G88" s="327"/>
      <c r="H88" s="327"/>
      <c r="I88" s="327"/>
      <c r="J88" s="327"/>
      <c r="K88" s="327">
        <f>VLOOKUP($B88,재무제표!$A$10:$E$99,4,FALSE)</f>
        <v>0</v>
      </c>
      <c r="L88" s="328">
        <f t="shared" si="3"/>
        <v>0</v>
      </c>
    </row>
    <row r="89" spans="1:12" ht="15.6" customHeight="1">
      <c r="B89" s="330" t="str">
        <f>재무제표!A96</f>
        <v>5.미처분이익잉여금</v>
      </c>
      <c r="C89" s="330">
        <f>VLOOKUP($B89,재무제표!$A$10:$E$99,4,FALSE)</f>
        <v>0</v>
      </c>
      <c r="D89" s="330"/>
      <c r="E89" s="330"/>
      <c r="F89" s="330"/>
      <c r="G89" s="330"/>
      <c r="H89" s="330"/>
      <c r="I89" s="330"/>
      <c r="J89" s="330"/>
      <c r="K89" s="330">
        <f>VLOOKUP($B89,재무제표!$A$10:$E$99,4,FALSE)</f>
        <v>0</v>
      </c>
      <c r="L89" s="332">
        <f t="shared" si="3"/>
        <v>0</v>
      </c>
    </row>
    <row r="90" spans="1:12" ht="15.6" customHeight="1">
      <c r="B90" s="323" t="str">
        <f>재무제표!A97</f>
        <v>자      본      총      계</v>
      </c>
      <c r="C90" s="323">
        <f>SUM(C76,C78,C80,C84)</f>
        <v>0</v>
      </c>
      <c r="D90" s="323"/>
      <c r="E90" s="323"/>
      <c r="F90" s="323"/>
      <c r="G90" s="323"/>
      <c r="H90" s="323"/>
      <c r="I90" s="323"/>
      <c r="J90" s="323"/>
      <c r="K90" s="323">
        <f>SUM(K76,K78,K80,K84)</f>
        <v>0</v>
      </c>
      <c r="L90" s="324">
        <f>SUM(L76,L78,L80,L84)</f>
        <v>0</v>
      </c>
    </row>
    <row r="91" spans="1:12" ht="15.6" customHeight="1">
      <c r="B91" s="323" t="str">
        <f>재무제표!A98</f>
        <v>부  채  및  자  본  총  계</v>
      </c>
      <c r="C91" s="323">
        <f>SUM(C74,C90)</f>
        <v>0</v>
      </c>
      <c r="D91" s="323"/>
      <c r="E91" s="323"/>
      <c r="F91" s="323"/>
      <c r="G91" s="323"/>
      <c r="H91" s="323"/>
      <c r="I91" s="323"/>
      <c r="J91" s="323"/>
      <c r="K91" s="323">
        <f>SUM(K74,K90)</f>
        <v>0</v>
      </c>
      <c r="L91" s="324">
        <f>SUM(L74,L90)</f>
        <v>0</v>
      </c>
    </row>
    <row r="92" spans="1:12" ht="15.6" customHeight="1">
      <c r="B92" s="323" t="s">
        <v>1042</v>
      </c>
      <c r="C92" s="323">
        <f>C55-C91</f>
        <v>0</v>
      </c>
      <c r="D92" s="323"/>
      <c r="E92" s="323"/>
      <c r="F92" s="323"/>
      <c r="G92" s="323"/>
      <c r="H92" s="323"/>
      <c r="I92" s="323"/>
      <c r="J92" s="323"/>
      <c r="K92" s="323">
        <f t="shared" ref="K92" si="4">K55-K91</f>
        <v>0</v>
      </c>
      <c r="L92" s="324">
        <f t="shared" ref="L92" si="5">L55-L91</f>
        <v>0</v>
      </c>
    </row>
    <row r="94" spans="1:12" ht="15.6" customHeight="1">
      <c r="A94" s="336" t="s">
        <v>1063</v>
      </c>
      <c r="B94" s="321" t="s">
        <v>1062</v>
      </c>
      <c r="C94" s="337" t="s">
        <v>1075</v>
      </c>
    </row>
    <row r="95" spans="1:12" ht="15.6" customHeight="1">
      <c r="A95" s="338" t="s">
        <v>1068</v>
      </c>
      <c r="B95" s="320" t="s">
        <v>1048</v>
      </c>
      <c r="C95" s="339">
        <f>SUM(C96:C99)</f>
        <v>0</v>
      </c>
    </row>
    <row r="96" spans="1:12" ht="15.6" customHeight="1">
      <c r="A96" s="338" t="s">
        <v>1064</v>
      </c>
      <c r="B96" s="340" t="s">
        <v>1049</v>
      </c>
      <c r="C96" s="339">
        <f>-SUMIF($D$3:$D$92,$A96,$F$3:$F$92)+SUMIF($H$3:$H$92,$A96,$J$3:$J$92)</f>
        <v>0</v>
      </c>
    </row>
    <row r="97" spans="1:3" ht="15.6" customHeight="1">
      <c r="A97" s="338" t="s">
        <v>1065</v>
      </c>
      <c r="B97" s="320" t="s">
        <v>1050</v>
      </c>
      <c r="C97" s="339">
        <f t="shared" ref="C97:C105" si="6">-SUMIF($D$3:$D$92,$A97,$F$3:$F$92)+SUMIF($H$3:$H$92,$A97,$J$3:$J$92)</f>
        <v>0</v>
      </c>
    </row>
    <row r="98" spans="1:3" ht="15.6" customHeight="1">
      <c r="A98" s="338" t="s">
        <v>1066</v>
      </c>
      <c r="B98" s="320" t="s">
        <v>1051</v>
      </c>
      <c r="C98" s="339">
        <f t="shared" si="6"/>
        <v>0</v>
      </c>
    </row>
    <row r="99" spans="1:3" ht="15.6" customHeight="1">
      <c r="A99" s="338" t="s">
        <v>1067</v>
      </c>
      <c r="B99" s="320" t="s">
        <v>1052</v>
      </c>
      <c r="C99" s="339">
        <f t="shared" si="6"/>
        <v>0</v>
      </c>
    </row>
    <row r="100" spans="1:3" ht="15.6" customHeight="1">
      <c r="A100" s="338" t="s">
        <v>1069</v>
      </c>
      <c r="B100" s="320" t="s">
        <v>1053</v>
      </c>
      <c r="C100" s="339">
        <f>SUM(C101:C102)</f>
        <v>0</v>
      </c>
    </row>
    <row r="101" spans="1:3" ht="15.6" customHeight="1">
      <c r="A101" s="338" t="s">
        <v>1071</v>
      </c>
      <c r="B101" s="320" t="s">
        <v>1054</v>
      </c>
      <c r="C101" s="339">
        <f t="shared" si="6"/>
        <v>0</v>
      </c>
    </row>
    <row r="102" spans="1:3" ht="15.6" customHeight="1">
      <c r="A102" s="338" t="s">
        <v>1074</v>
      </c>
      <c r="B102" s="320" t="s">
        <v>1055</v>
      </c>
      <c r="C102" s="339">
        <f t="shared" si="6"/>
        <v>0</v>
      </c>
    </row>
    <row r="103" spans="1:3" ht="15.6" customHeight="1">
      <c r="A103" s="338" t="s">
        <v>1070</v>
      </c>
      <c r="B103" s="320" t="s">
        <v>1056</v>
      </c>
      <c r="C103" s="339">
        <f>SUM(C104:C105)</f>
        <v>0</v>
      </c>
    </row>
    <row r="104" spans="1:3" ht="15.6" customHeight="1">
      <c r="A104" s="338" t="s">
        <v>1072</v>
      </c>
      <c r="B104" s="320" t="s">
        <v>1057</v>
      </c>
      <c r="C104" s="339">
        <f t="shared" si="6"/>
        <v>0</v>
      </c>
    </row>
    <row r="105" spans="1:3" ht="15.6" customHeight="1">
      <c r="A105" s="338" t="s">
        <v>1073</v>
      </c>
      <c r="B105" s="320" t="s">
        <v>1058</v>
      </c>
      <c r="C105" s="339">
        <f t="shared" si="6"/>
        <v>0</v>
      </c>
    </row>
    <row r="106" spans="1:3" ht="15.6" customHeight="1">
      <c r="A106" s="341"/>
      <c r="B106" s="320" t="s">
        <v>1059</v>
      </c>
      <c r="C106" s="339">
        <f>SUM(C95,C100,C103)</f>
        <v>0</v>
      </c>
    </row>
    <row r="107" spans="1:3" ht="15.6" customHeight="1">
      <c r="A107" s="341"/>
      <c r="B107" s="320" t="s">
        <v>1060</v>
      </c>
      <c r="C107" s="339">
        <f>C6</f>
        <v>0</v>
      </c>
    </row>
    <row r="108" spans="1:3" ht="15.6" customHeight="1">
      <c r="A108" s="341"/>
      <c r="B108" s="320" t="s">
        <v>1061</v>
      </c>
      <c r="C108" s="339">
        <f>SUM(C106:C107)</f>
        <v>0</v>
      </c>
    </row>
    <row r="109" spans="1:3" ht="15.6" customHeight="1">
      <c r="A109" s="341"/>
      <c r="B109" s="323" t="s">
        <v>1042</v>
      </c>
      <c r="C109" s="342">
        <f>C108-K6</f>
        <v>0</v>
      </c>
    </row>
    <row r="110" spans="1:3" ht="15.6" customHeight="1">
      <c r="A110" s="341" t="s">
        <v>1076</v>
      </c>
      <c r="B110" s="320" t="s">
        <v>1077</v>
      </c>
      <c r="C110" s="339">
        <f t="shared" ref="C110" si="7">-SUMIF($D$3:$D$92,$A110,$F$3:$F$92)+SUMIF($H$3:$H$92,$A110,$J$3:$J$92)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00B0F0"/>
  </sheetPr>
  <dimension ref="A1:V34"/>
  <sheetViews>
    <sheetView workbookViewId="0">
      <selection activeCell="G8" sqref="G8"/>
    </sheetView>
  </sheetViews>
  <sheetFormatPr defaultRowHeight="16.5"/>
  <cols>
    <col min="1" max="1" width="8.25" bestFit="1" customWidth="1"/>
    <col min="2" max="2" width="12.375" bestFit="1" customWidth="1"/>
    <col min="3" max="3" width="10.5" bestFit="1" customWidth="1"/>
    <col min="4" max="4" width="12.375" bestFit="1" customWidth="1"/>
    <col min="5" max="5" width="11.25" bestFit="1" customWidth="1"/>
    <col min="6" max="6" width="12.375" bestFit="1" customWidth="1"/>
    <col min="7" max="7" width="11.25" bestFit="1" customWidth="1"/>
    <col min="8" max="10" width="12.375" bestFit="1" customWidth="1"/>
    <col min="11" max="11" width="13.625" bestFit="1" customWidth="1"/>
    <col min="12" max="12" width="12.375" bestFit="1" customWidth="1"/>
    <col min="13" max="13" width="9.375" bestFit="1" customWidth="1"/>
    <col min="14" max="14" width="13.625" bestFit="1" customWidth="1"/>
    <col min="15" max="15" width="15.375" bestFit="1" customWidth="1"/>
    <col min="16" max="16" width="10.5" bestFit="1" customWidth="1"/>
    <col min="17" max="17" width="9.375" bestFit="1" customWidth="1"/>
    <col min="18" max="18" width="13.625" bestFit="1" customWidth="1"/>
    <col min="19" max="19" width="12.375" bestFit="1" customWidth="1"/>
    <col min="20" max="20" width="13.625" bestFit="1" customWidth="1"/>
    <col min="21" max="21" width="12.375" bestFit="1" customWidth="1"/>
    <col min="22" max="22" width="14.875" bestFit="1" customWidth="1"/>
  </cols>
  <sheetData>
    <row r="1" spans="1:22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803" t="s">
        <v>1</v>
      </c>
    </row>
    <row r="2" spans="1:22">
      <c r="A2" s="375" t="s">
        <v>3560</v>
      </c>
      <c r="B2" s="446"/>
      <c r="C2" s="446"/>
      <c r="D2" s="446"/>
      <c r="E2" s="446"/>
      <c r="F2" s="1274" t="s">
        <v>3561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22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22">
      <c r="A6" s="988" t="s">
        <v>4855</v>
      </c>
      <c r="B6" s="988" t="s">
        <v>3117</v>
      </c>
      <c r="C6" s="988" t="s">
        <v>4851</v>
      </c>
      <c r="D6" s="988" t="s">
        <v>3113</v>
      </c>
      <c r="E6" s="988" t="s">
        <v>3127</v>
      </c>
      <c r="F6" s="988" t="s">
        <v>3115</v>
      </c>
      <c r="G6" s="988" t="s">
        <v>3124</v>
      </c>
      <c r="H6" s="988" t="s">
        <v>3119</v>
      </c>
      <c r="I6" s="988" t="s">
        <v>3116</v>
      </c>
      <c r="J6" s="988" t="s">
        <v>3125</v>
      </c>
      <c r="K6" s="988" t="s">
        <v>4852</v>
      </c>
      <c r="L6" s="988" t="s">
        <v>3120</v>
      </c>
      <c r="M6" s="988" t="s">
        <v>3126</v>
      </c>
      <c r="N6" s="988" t="s">
        <v>3123</v>
      </c>
      <c r="O6" s="988" t="s">
        <v>3128</v>
      </c>
      <c r="P6" s="988" t="s">
        <v>4853</v>
      </c>
      <c r="Q6" s="988" t="s">
        <v>3129</v>
      </c>
      <c r="R6" s="988" t="s">
        <v>3114</v>
      </c>
      <c r="S6" s="988" t="s">
        <v>3121</v>
      </c>
      <c r="T6" s="988" t="s">
        <v>2729</v>
      </c>
      <c r="U6" s="988" t="s">
        <v>3112</v>
      </c>
      <c r="V6" s="988" t="s">
        <v>4849</v>
      </c>
    </row>
    <row r="7" spans="1:22">
      <c r="A7" s="987" t="s">
        <v>4838</v>
      </c>
      <c r="B7" s="821"/>
      <c r="C7" s="821">
        <v>30000</v>
      </c>
      <c r="D7" s="821">
        <v>641310</v>
      </c>
      <c r="E7" s="821"/>
      <c r="F7" s="821"/>
      <c r="G7" s="821">
        <v>30000</v>
      </c>
      <c r="H7" s="821">
        <v>600000</v>
      </c>
      <c r="I7" s="821">
        <v>2121200</v>
      </c>
      <c r="J7" s="821">
        <v>311700</v>
      </c>
      <c r="K7" s="821">
        <v>18000</v>
      </c>
      <c r="L7" s="821">
        <v>1245290</v>
      </c>
      <c r="M7" s="821"/>
      <c r="N7" s="821">
        <v>520709</v>
      </c>
      <c r="O7" s="821">
        <v>1346700</v>
      </c>
      <c r="P7" s="821">
        <v>74930</v>
      </c>
      <c r="Q7" s="821">
        <v>19630</v>
      </c>
      <c r="R7" s="821">
        <v>850000</v>
      </c>
      <c r="S7" s="821">
        <v>386460</v>
      </c>
      <c r="T7" s="821"/>
      <c r="U7" s="821"/>
      <c r="V7" s="821">
        <v>8195929</v>
      </c>
    </row>
    <row r="8" spans="1:22">
      <c r="A8" s="987" t="s">
        <v>4839</v>
      </c>
      <c r="B8" s="821">
        <v>32070</v>
      </c>
      <c r="C8" s="821">
        <v>117500</v>
      </c>
      <c r="D8" s="821">
        <v>757800</v>
      </c>
      <c r="E8" s="821"/>
      <c r="F8" s="821"/>
      <c r="G8" s="821">
        <v>65200</v>
      </c>
      <c r="H8" s="821">
        <v>600000</v>
      </c>
      <c r="I8" s="821">
        <v>1713400</v>
      </c>
      <c r="J8" s="821">
        <v>2337520</v>
      </c>
      <c r="K8" s="821"/>
      <c r="L8" s="821">
        <v>1178150</v>
      </c>
      <c r="M8" s="821">
        <v>50000</v>
      </c>
      <c r="N8" s="821">
        <v>979519</v>
      </c>
      <c r="O8" s="821">
        <v>1357000</v>
      </c>
      <c r="P8" s="821">
        <v>125960</v>
      </c>
      <c r="Q8" s="821"/>
      <c r="R8" s="821">
        <v>850000</v>
      </c>
      <c r="S8" s="821">
        <v>45610</v>
      </c>
      <c r="T8" s="821"/>
      <c r="U8" s="821">
        <v>382130</v>
      </c>
      <c r="V8" s="821">
        <v>10591859</v>
      </c>
    </row>
    <row r="9" spans="1:22">
      <c r="A9" s="987" t="s">
        <v>3570</v>
      </c>
      <c r="B9" s="821">
        <v>-201365</v>
      </c>
      <c r="C9" s="821">
        <v>37900</v>
      </c>
      <c r="D9" s="821">
        <v>732100</v>
      </c>
      <c r="E9" s="821"/>
      <c r="F9" s="821"/>
      <c r="G9" s="821">
        <v>35500</v>
      </c>
      <c r="H9" s="821">
        <v>726220</v>
      </c>
      <c r="I9" s="821">
        <v>12584</v>
      </c>
      <c r="J9" s="821">
        <v>737000</v>
      </c>
      <c r="K9" s="821">
        <v>280250</v>
      </c>
      <c r="L9" s="821">
        <v>1136800</v>
      </c>
      <c r="M9" s="821"/>
      <c r="N9" s="821">
        <v>749979</v>
      </c>
      <c r="O9" s="821">
        <v>1079000</v>
      </c>
      <c r="P9" s="821">
        <v>73340</v>
      </c>
      <c r="Q9" s="821"/>
      <c r="R9" s="821">
        <v>850000</v>
      </c>
      <c r="S9" s="821">
        <v>14150</v>
      </c>
      <c r="T9" s="821"/>
      <c r="U9" s="821"/>
      <c r="V9" s="821">
        <v>6263458</v>
      </c>
    </row>
    <row r="10" spans="1:22">
      <c r="A10" s="987" t="s">
        <v>4840</v>
      </c>
      <c r="B10" s="821">
        <v>30000</v>
      </c>
      <c r="C10" s="821">
        <v>126300</v>
      </c>
      <c r="D10" s="991">
        <v>-3365200</v>
      </c>
      <c r="E10" s="821"/>
      <c r="F10" s="821"/>
      <c r="G10" s="821">
        <v>184300</v>
      </c>
      <c r="H10" s="821">
        <v>600000</v>
      </c>
      <c r="I10" s="821">
        <v>373136</v>
      </c>
      <c r="J10" s="821"/>
      <c r="K10" s="821">
        <v>145972</v>
      </c>
      <c r="L10" s="821">
        <v>727660</v>
      </c>
      <c r="M10" s="821"/>
      <c r="N10" s="991">
        <v>9646589</v>
      </c>
      <c r="O10" s="821">
        <v>809000</v>
      </c>
      <c r="P10" s="821">
        <v>4340</v>
      </c>
      <c r="Q10" s="821"/>
      <c r="R10" s="821">
        <v>850000</v>
      </c>
      <c r="S10" s="821">
        <v>0</v>
      </c>
      <c r="T10" s="821"/>
      <c r="U10" s="821"/>
      <c r="V10" s="821">
        <v>10132097</v>
      </c>
    </row>
    <row r="11" spans="1:22">
      <c r="A11" s="987" t="s">
        <v>4841</v>
      </c>
      <c r="B11" s="821">
        <v>210000</v>
      </c>
      <c r="C11" s="821">
        <v>122400</v>
      </c>
      <c r="D11" s="821">
        <v>893921</v>
      </c>
      <c r="E11" s="821"/>
      <c r="F11" s="821">
        <v>2214334</v>
      </c>
      <c r="G11" s="821">
        <v>30000</v>
      </c>
      <c r="H11" s="821">
        <v>600000</v>
      </c>
      <c r="I11" s="821">
        <v>1120000</v>
      </c>
      <c r="J11" s="821"/>
      <c r="K11" s="821"/>
      <c r="L11" s="821">
        <v>728910</v>
      </c>
      <c r="M11" s="821"/>
      <c r="N11" s="991">
        <v>3775236</v>
      </c>
      <c r="O11" s="821">
        <v>2564080</v>
      </c>
      <c r="P11" s="821">
        <v>85930</v>
      </c>
      <c r="Q11" s="821"/>
      <c r="R11" s="821">
        <v>850000</v>
      </c>
      <c r="S11" s="821">
        <v>0</v>
      </c>
      <c r="T11" s="821"/>
      <c r="U11" s="821"/>
      <c r="V11" s="821">
        <v>13194811</v>
      </c>
    </row>
    <row r="12" spans="1:22">
      <c r="A12" s="987" t="s">
        <v>4842</v>
      </c>
      <c r="B12" s="821">
        <v>1367200</v>
      </c>
      <c r="C12" s="821">
        <v>11900</v>
      </c>
      <c r="D12" s="821">
        <v>502100</v>
      </c>
      <c r="E12" s="821"/>
      <c r="F12" s="821"/>
      <c r="G12" s="821">
        <v>44000</v>
      </c>
      <c r="H12" s="821">
        <v>600000</v>
      </c>
      <c r="I12" s="991">
        <v>-3708700</v>
      </c>
      <c r="J12" s="821">
        <v>5000</v>
      </c>
      <c r="K12" s="821"/>
      <c r="L12" s="821">
        <v>472660</v>
      </c>
      <c r="M12" s="821"/>
      <c r="N12" s="821">
        <v>755623</v>
      </c>
      <c r="O12" s="821">
        <v>4807000</v>
      </c>
      <c r="P12" s="821">
        <v>7850</v>
      </c>
      <c r="Q12" s="821"/>
      <c r="R12" s="821">
        <v>850000</v>
      </c>
      <c r="S12" s="821">
        <v>0</v>
      </c>
      <c r="T12" s="821"/>
      <c r="U12" s="821">
        <v>373650</v>
      </c>
      <c r="V12" s="821">
        <v>6088283</v>
      </c>
    </row>
    <row r="13" spans="1:22">
      <c r="A13" s="987" t="s">
        <v>4843</v>
      </c>
      <c r="B13" s="821"/>
      <c r="C13" s="821">
        <v>59900</v>
      </c>
      <c r="D13" s="821">
        <v>693550</v>
      </c>
      <c r="E13" s="821">
        <v>7400</v>
      </c>
      <c r="F13" s="821"/>
      <c r="G13" s="821">
        <v>74800</v>
      </c>
      <c r="H13" s="821">
        <v>600000</v>
      </c>
      <c r="I13" s="821">
        <v>1207300</v>
      </c>
      <c r="J13" s="821"/>
      <c r="K13" s="991">
        <v>2888868</v>
      </c>
      <c r="L13" s="821">
        <v>652910</v>
      </c>
      <c r="M13" s="821"/>
      <c r="N13" s="821">
        <v>1102392</v>
      </c>
      <c r="O13" s="821">
        <v>3356800</v>
      </c>
      <c r="P13" s="821">
        <v>25930</v>
      </c>
      <c r="Q13" s="821"/>
      <c r="R13" s="821">
        <v>750000</v>
      </c>
      <c r="S13" s="821">
        <v>0</v>
      </c>
      <c r="T13" s="821"/>
      <c r="U13" s="821"/>
      <c r="V13" s="821">
        <v>11419850</v>
      </c>
    </row>
    <row r="14" spans="1:22">
      <c r="A14" s="987" t="s">
        <v>4844</v>
      </c>
      <c r="B14" s="821"/>
      <c r="C14" s="821"/>
      <c r="D14" s="821">
        <v>290900</v>
      </c>
      <c r="E14" s="821"/>
      <c r="F14" s="821"/>
      <c r="G14" s="821">
        <v>30000</v>
      </c>
      <c r="H14" s="821">
        <v>600000</v>
      </c>
      <c r="I14" s="821">
        <v>1190000</v>
      </c>
      <c r="J14" s="821"/>
      <c r="K14" s="821">
        <v>62500</v>
      </c>
      <c r="L14" s="821">
        <v>545160</v>
      </c>
      <c r="M14" s="821"/>
      <c r="N14" s="821">
        <v>513862</v>
      </c>
      <c r="O14" s="821">
        <v>1972000</v>
      </c>
      <c r="P14" s="821">
        <v>1840</v>
      </c>
      <c r="Q14" s="821"/>
      <c r="R14" s="821">
        <v>850000</v>
      </c>
      <c r="S14" s="821">
        <v>181540</v>
      </c>
      <c r="T14" s="821"/>
      <c r="U14" s="821"/>
      <c r="V14" s="821">
        <v>6237802</v>
      </c>
    </row>
    <row r="15" spans="1:22">
      <c r="A15" s="987" t="s">
        <v>4845</v>
      </c>
      <c r="B15" s="821">
        <v>135000</v>
      </c>
      <c r="C15" s="821"/>
      <c r="D15" s="821">
        <v>535400</v>
      </c>
      <c r="E15" s="821"/>
      <c r="F15" s="821">
        <v>1980000</v>
      </c>
      <c r="G15" s="821">
        <v>79500</v>
      </c>
      <c r="H15" s="821">
        <v>600000</v>
      </c>
      <c r="I15" s="821">
        <v>2755620</v>
      </c>
      <c r="J15" s="821"/>
      <c r="K15" s="991">
        <v>6239350</v>
      </c>
      <c r="L15" s="821">
        <v>659360</v>
      </c>
      <c r="M15" s="821"/>
      <c r="N15" s="821">
        <v>493065</v>
      </c>
      <c r="O15" s="821">
        <v>1780000</v>
      </c>
      <c r="P15" s="821">
        <v>25770</v>
      </c>
      <c r="Q15" s="821"/>
      <c r="R15" s="821">
        <v>850000</v>
      </c>
      <c r="S15" s="821">
        <v>623280</v>
      </c>
      <c r="T15" s="821"/>
      <c r="U15" s="821">
        <v>75260</v>
      </c>
      <c r="V15" s="821">
        <v>16831605</v>
      </c>
    </row>
    <row r="16" spans="1:22">
      <c r="A16" s="987" t="s">
        <v>4846</v>
      </c>
      <c r="B16" s="821">
        <v>3800</v>
      </c>
      <c r="C16" s="821">
        <v>2400</v>
      </c>
      <c r="D16" s="821">
        <v>166500</v>
      </c>
      <c r="E16" s="821"/>
      <c r="F16" s="821">
        <v>170121</v>
      </c>
      <c r="G16" s="821">
        <v>8800</v>
      </c>
      <c r="H16" s="821">
        <v>600000</v>
      </c>
      <c r="I16" s="821">
        <v>1227000</v>
      </c>
      <c r="J16" s="821"/>
      <c r="K16" s="821">
        <v>1028816</v>
      </c>
      <c r="L16" s="821">
        <v>370190</v>
      </c>
      <c r="M16" s="821"/>
      <c r="N16" s="821">
        <v>518245</v>
      </c>
      <c r="O16" s="821">
        <v>1835000</v>
      </c>
      <c r="P16" s="821">
        <v>96260</v>
      </c>
      <c r="Q16" s="821"/>
      <c r="R16" s="821">
        <v>850000</v>
      </c>
      <c r="S16" s="821">
        <v>-7140</v>
      </c>
      <c r="T16" s="821"/>
      <c r="U16" s="821"/>
      <c r="V16" s="821">
        <v>6869992</v>
      </c>
    </row>
    <row r="17" spans="1:22">
      <c r="A17" s="987" t="s">
        <v>4847</v>
      </c>
      <c r="B17" s="821">
        <v>410000</v>
      </c>
      <c r="C17" s="821"/>
      <c r="D17" s="821">
        <v>773530</v>
      </c>
      <c r="E17" s="821"/>
      <c r="F17" s="821"/>
      <c r="G17" s="821">
        <v>60000</v>
      </c>
      <c r="H17" s="821">
        <v>600000</v>
      </c>
      <c r="I17" s="991">
        <v>-1405650</v>
      </c>
      <c r="J17" s="821">
        <v>9000</v>
      </c>
      <c r="K17" s="821"/>
      <c r="L17" s="821">
        <v>584180</v>
      </c>
      <c r="M17" s="821"/>
      <c r="N17" s="821">
        <v>556955</v>
      </c>
      <c r="O17" s="821">
        <v>2337800</v>
      </c>
      <c r="P17" s="821">
        <v>20400</v>
      </c>
      <c r="Q17" s="821"/>
      <c r="R17" s="821">
        <v>850000</v>
      </c>
      <c r="S17" s="821">
        <v>259710</v>
      </c>
      <c r="T17" s="821"/>
      <c r="U17" s="821">
        <v>808670</v>
      </c>
      <c r="V17" s="821">
        <v>5864595</v>
      </c>
    </row>
    <row r="18" spans="1:22">
      <c r="A18" s="987" t="s">
        <v>4848</v>
      </c>
      <c r="B18" s="821">
        <v>-41460</v>
      </c>
      <c r="C18" s="821"/>
      <c r="D18" s="991">
        <v>-1615000</v>
      </c>
      <c r="E18" s="821"/>
      <c r="F18" s="821"/>
      <c r="G18" s="821">
        <v>30000</v>
      </c>
      <c r="H18" s="991">
        <v>-5496348</v>
      </c>
      <c r="I18" s="991">
        <v>-2114369</v>
      </c>
      <c r="J18" s="821">
        <v>6432</v>
      </c>
      <c r="K18" s="821">
        <v>147116</v>
      </c>
      <c r="L18" s="821">
        <v>905750</v>
      </c>
      <c r="M18" s="821"/>
      <c r="N18" s="821">
        <v>733890</v>
      </c>
      <c r="O18" s="991">
        <v>-2347000</v>
      </c>
      <c r="P18" s="821">
        <v>48310</v>
      </c>
      <c r="Q18" s="821"/>
      <c r="R18" s="821">
        <v>850000</v>
      </c>
      <c r="S18" s="821">
        <v>566190</v>
      </c>
      <c r="T18" s="821">
        <v>56497350</v>
      </c>
      <c r="U18" s="821">
        <v>-700</v>
      </c>
      <c r="V18" s="821">
        <v>48170161</v>
      </c>
    </row>
    <row r="19" spans="1:22">
      <c r="A19" s="989" t="s">
        <v>4849</v>
      </c>
      <c r="B19" s="990">
        <v>1945245</v>
      </c>
      <c r="C19" s="990">
        <v>508300</v>
      </c>
      <c r="D19" s="990">
        <v>1006911</v>
      </c>
      <c r="E19" s="990">
        <v>7400</v>
      </c>
      <c r="F19" s="990">
        <v>4364455</v>
      </c>
      <c r="G19" s="990">
        <v>672100</v>
      </c>
      <c r="H19" s="990">
        <v>1229872</v>
      </c>
      <c r="I19" s="990">
        <v>4491521</v>
      </c>
      <c r="J19" s="990">
        <v>3406652</v>
      </c>
      <c r="K19" s="990">
        <v>10810872</v>
      </c>
      <c r="L19" s="990">
        <v>9207020</v>
      </c>
      <c r="M19" s="990">
        <v>50000</v>
      </c>
      <c r="N19" s="990">
        <v>20346064</v>
      </c>
      <c r="O19" s="990">
        <v>20897380</v>
      </c>
      <c r="P19" s="990">
        <v>590860</v>
      </c>
      <c r="Q19" s="990">
        <v>19630</v>
      </c>
      <c r="R19" s="990">
        <v>10100000</v>
      </c>
      <c r="S19" s="990">
        <v>2069800</v>
      </c>
      <c r="T19" s="990">
        <v>56497350</v>
      </c>
      <c r="U19" s="990">
        <v>1639010</v>
      </c>
      <c r="V19" s="990">
        <v>149860442</v>
      </c>
    </row>
    <row r="22" spans="1:22">
      <c r="G22" t="s">
        <v>4856</v>
      </c>
      <c r="H22" t="s">
        <v>4857</v>
      </c>
    </row>
    <row r="23" spans="1:22">
      <c r="H23" t="s">
        <v>4858</v>
      </c>
    </row>
    <row r="25" spans="1:22">
      <c r="G25" t="s">
        <v>4859</v>
      </c>
      <c r="H25" t="s">
        <v>4860</v>
      </c>
    </row>
    <row r="27" spans="1:22">
      <c r="G27" t="s">
        <v>4861</v>
      </c>
      <c r="H27" t="s">
        <v>4862</v>
      </c>
    </row>
    <row r="28" spans="1:22">
      <c r="H28" t="s">
        <v>4863</v>
      </c>
    </row>
    <row r="29" spans="1:22">
      <c r="H29" t="s">
        <v>4864</v>
      </c>
    </row>
    <row r="31" spans="1:22">
      <c r="G31" t="s">
        <v>4865</v>
      </c>
      <c r="H31" t="s">
        <v>4866</v>
      </c>
    </row>
    <row r="33" spans="7:8">
      <c r="G33" t="s">
        <v>4867</v>
      </c>
      <c r="H33" t="s">
        <v>4868</v>
      </c>
    </row>
    <row r="34" spans="7:8">
      <c r="H34" t="s">
        <v>4869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J14"/>
  <sheetViews>
    <sheetView topLeftCell="A10" workbookViewId="0">
      <selection activeCell="G8" sqref="G8"/>
    </sheetView>
  </sheetViews>
  <sheetFormatPr defaultRowHeight="16.5"/>
  <cols>
    <col min="1" max="1" width="2.75" customWidth="1"/>
    <col min="2" max="2" width="14.875" customWidth="1"/>
    <col min="3" max="3" width="8" bestFit="1" customWidth="1"/>
    <col min="4" max="4" width="53.625" bestFit="1" customWidth="1"/>
    <col min="5" max="5" width="11.875" bestFit="1" customWidth="1"/>
    <col min="6" max="6" width="13.75" bestFit="1" customWidth="1"/>
    <col min="7" max="7" width="9.625" bestFit="1" customWidth="1"/>
  </cols>
  <sheetData>
    <row r="1" spans="1:10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803" t="s">
        <v>1</v>
      </c>
    </row>
    <row r="2" spans="1:10">
      <c r="A2" s="375" t="s">
        <v>3562</v>
      </c>
      <c r="B2" s="446"/>
      <c r="C2" s="446"/>
      <c r="D2" s="446"/>
      <c r="E2" s="446"/>
      <c r="F2" s="1274" t="s">
        <v>3563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0">
      <c r="B6" t="s">
        <v>4883</v>
      </c>
    </row>
    <row r="8" spans="1:10">
      <c r="B8" s="994" t="s">
        <v>4884</v>
      </c>
      <c r="C8" s="994" t="s">
        <v>4885</v>
      </c>
      <c r="D8" s="994" t="s">
        <v>4886</v>
      </c>
      <c r="E8" s="994" t="s">
        <v>4887</v>
      </c>
      <c r="F8" s="994" t="s">
        <v>4888</v>
      </c>
      <c r="G8" s="994" t="s">
        <v>4889</v>
      </c>
    </row>
    <row r="9" spans="1:10">
      <c r="E9" s="823"/>
      <c r="F9" t="s">
        <v>4890</v>
      </c>
      <c r="G9" t="s">
        <v>4891</v>
      </c>
    </row>
    <row r="10" spans="1:10">
      <c r="E10" s="823"/>
      <c r="G10" t="s">
        <v>4892</v>
      </c>
    </row>
    <row r="11" spans="1:10">
      <c r="E11" s="823"/>
      <c r="G11" t="s">
        <v>4893</v>
      </c>
    </row>
    <row r="14" spans="1:10">
      <c r="B14" t="s">
        <v>4894</v>
      </c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FF0000"/>
  </sheetPr>
  <dimension ref="A1:P95"/>
  <sheetViews>
    <sheetView zoomScaleSheetLayoutView="85" workbookViewId="0">
      <selection activeCell="G8" sqref="G8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TableofContents!$D$30</f>
        <v>영업외수익, 영업외비용</v>
      </c>
      <c r="B2" s="449"/>
      <c r="C2" s="449"/>
      <c r="D2" s="449"/>
      <c r="E2" s="449"/>
      <c r="F2" s="449"/>
      <c r="G2" s="450"/>
      <c r="H2" s="1255" t="str">
        <f>"DIR - "&amp;TableofContents!$B$30</f>
        <v>DIR - S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2264</v>
      </c>
      <c r="N16" s="247" t="s">
        <v>2175</v>
      </c>
    </row>
    <row r="17" spans="1:14" s="225" customFormat="1" ht="15.75" customHeight="1">
      <c r="A17" s="224"/>
      <c r="B17" s="224"/>
      <c r="C17" s="224" t="s">
        <v>2190</v>
      </c>
      <c r="D17" s="224"/>
      <c r="N17" s="247"/>
    </row>
    <row r="18" spans="1:14" s="225" customFormat="1" ht="15.75" customHeight="1">
      <c r="A18" s="224"/>
      <c r="B18" s="224"/>
      <c r="C18" s="224" t="s">
        <v>2191</v>
      </c>
      <c r="D18" s="224"/>
      <c r="N18" s="247"/>
    </row>
    <row r="19" spans="1:14" s="225" customFormat="1" ht="15.75" customHeight="1">
      <c r="A19" s="224"/>
      <c r="B19" s="224"/>
      <c r="C19" s="224"/>
      <c r="D19" s="224"/>
      <c r="N19" s="247"/>
    </row>
    <row r="20" spans="1:14" s="225" customFormat="1" ht="15.75" customHeight="1">
      <c r="A20" s="224"/>
      <c r="B20" s="224" t="s">
        <v>1069</v>
      </c>
      <c r="C20" s="224" t="s">
        <v>2265</v>
      </c>
      <c r="N20" s="247" t="s">
        <v>2177</v>
      </c>
    </row>
    <row r="21" spans="1:14" s="225" customFormat="1" ht="15.75" customHeight="1">
      <c r="A21" s="224"/>
      <c r="C21" s="224" t="s">
        <v>2263</v>
      </c>
      <c r="N21" s="247"/>
    </row>
    <row r="22" spans="1:14" s="225" customFormat="1" ht="15.75" customHeight="1">
      <c r="C22" s="224" t="s">
        <v>2246</v>
      </c>
      <c r="D22" s="471"/>
      <c r="E22" s="226"/>
      <c r="F22" s="226"/>
      <c r="G22" s="226"/>
      <c r="H22" s="226"/>
      <c r="I22" s="226"/>
      <c r="J22" s="226"/>
      <c r="K22" s="226"/>
      <c r="L22" s="226"/>
      <c r="M22" s="226"/>
      <c r="N22" s="493"/>
    </row>
    <row r="23" spans="1:14" s="225" customFormat="1" ht="15.75" customHeight="1">
      <c r="C23" s="224" t="s">
        <v>2266</v>
      </c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C24" s="472" t="s">
        <v>2267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/>
    </row>
    <row r="25" spans="1:14" s="225" customFormat="1" ht="15.75" customHeight="1">
      <c r="D25" s="492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B26" s="224" t="s">
        <v>2044</v>
      </c>
      <c r="C26" s="224" t="s">
        <v>2268</v>
      </c>
      <c r="D26" s="492"/>
      <c r="E26" s="226"/>
      <c r="F26" s="226"/>
      <c r="G26" s="226"/>
      <c r="H26" s="226"/>
      <c r="I26" s="226"/>
      <c r="J26" s="226"/>
      <c r="K26" s="226"/>
      <c r="L26" s="226"/>
      <c r="M26" s="226"/>
      <c r="N26" s="493" t="s">
        <v>1313</v>
      </c>
    </row>
    <row r="27" spans="1:14" s="225" customFormat="1" ht="15.75" customHeight="1">
      <c r="C27" s="472" t="s">
        <v>2269</v>
      </c>
      <c r="D27" s="471"/>
      <c r="E27" s="226"/>
      <c r="F27" s="226"/>
      <c r="G27" s="226"/>
      <c r="H27" s="226"/>
      <c r="I27" s="226"/>
      <c r="J27" s="226"/>
      <c r="K27" s="226"/>
      <c r="L27" s="226"/>
      <c r="M27" s="226"/>
      <c r="N27" s="493"/>
    </row>
    <row r="28" spans="1:14" s="225" customFormat="1" ht="15.75" customHeight="1">
      <c r="A28" s="224"/>
      <c r="B28" s="224"/>
      <c r="C28" s="472" t="s">
        <v>2270</v>
      </c>
      <c r="D28" s="224"/>
      <c r="N28" s="247"/>
    </row>
    <row r="29" spans="1:14" s="225" customFormat="1" ht="15.75" customHeight="1">
      <c r="A29" s="224"/>
      <c r="B29" s="224"/>
      <c r="C29" s="472" t="s">
        <v>2271</v>
      </c>
      <c r="D29" s="224"/>
      <c r="N29" s="247"/>
    </row>
    <row r="30" spans="1:14" s="225" customFormat="1" ht="15.75" customHeight="1">
      <c r="A30" s="224"/>
      <c r="C30" s="472" t="s">
        <v>2272</v>
      </c>
      <c r="D30" s="224"/>
      <c r="N30" s="247"/>
    </row>
    <row r="31" spans="1:14" s="225" customFormat="1" ht="15.75" customHeight="1">
      <c r="A31" s="224"/>
      <c r="B31" s="224"/>
      <c r="C31" s="472" t="s">
        <v>2273</v>
      </c>
      <c r="D31" s="472"/>
      <c r="N31" s="247"/>
    </row>
    <row r="32" spans="1:14" s="225" customFormat="1" ht="15.75" customHeight="1">
      <c r="A32" s="224"/>
      <c r="C32" s="472" t="s">
        <v>2274</v>
      </c>
      <c r="D32" s="224"/>
      <c r="N32" s="247"/>
    </row>
    <row r="33" spans="1:14" s="225" customFormat="1" ht="15.75" customHeight="1">
      <c r="A33" s="224"/>
      <c r="B33" s="224"/>
      <c r="C33" s="472" t="s">
        <v>2275</v>
      </c>
      <c r="D33" s="224"/>
      <c r="N33" s="247"/>
    </row>
    <row r="34" spans="1:14" s="225" customFormat="1" ht="15.75" customHeight="1">
      <c r="A34" s="224"/>
      <c r="C34" s="472" t="s">
        <v>2276</v>
      </c>
      <c r="D34" s="472"/>
      <c r="N34" s="247"/>
    </row>
    <row r="35" spans="1:14" s="225" customFormat="1" ht="15.75" customHeight="1">
      <c r="A35" s="224"/>
      <c r="B35" s="224"/>
      <c r="C35" s="472" t="s">
        <v>2277</v>
      </c>
      <c r="D35" s="472"/>
      <c r="N35" s="247"/>
    </row>
    <row r="36" spans="1:14" s="225" customFormat="1" ht="15.75" customHeight="1">
      <c r="A36" s="224"/>
      <c r="C36" s="472" t="s">
        <v>2278</v>
      </c>
      <c r="D36" s="472"/>
      <c r="N36" s="247"/>
    </row>
    <row r="37" spans="1:14" s="225" customFormat="1" ht="15.75" customHeight="1">
      <c r="A37" s="224"/>
      <c r="B37" s="224"/>
      <c r="C37" s="224"/>
      <c r="D37" s="472"/>
      <c r="N37" s="247"/>
    </row>
    <row r="38" spans="1:14" s="225" customFormat="1" ht="15.75" customHeight="1">
      <c r="A38" s="224"/>
      <c r="B38" s="224" t="s">
        <v>2051</v>
      </c>
      <c r="C38" s="224" t="s">
        <v>2279</v>
      </c>
      <c r="D38" s="472"/>
      <c r="N38" s="247" t="s">
        <v>1313</v>
      </c>
    </row>
    <row r="39" spans="1:14" s="225" customFormat="1" ht="15.75" customHeight="1">
      <c r="A39" s="224"/>
      <c r="B39" s="224"/>
      <c r="C39" s="472" t="s">
        <v>2280</v>
      </c>
      <c r="D39" s="472"/>
      <c r="N39" s="247"/>
    </row>
    <row r="40" spans="1:14" s="225" customFormat="1" ht="15.75" customHeight="1">
      <c r="A40" s="224"/>
      <c r="B40" s="224"/>
      <c r="C40" s="472" t="s">
        <v>2281</v>
      </c>
      <c r="D40" s="472"/>
      <c r="N40" s="247"/>
    </row>
    <row r="41" spans="1:14" s="225" customFormat="1" ht="15.75" customHeight="1">
      <c r="A41" s="224"/>
      <c r="B41" s="224"/>
      <c r="C41" s="472" t="s">
        <v>2282</v>
      </c>
      <c r="D41" s="472"/>
      <c r="N41" s="247"/>
    </row>
    <row r="42" spans="1:14" s="225" customFormat="1" ht="15.75" customHeight="1">
      <c r="A42" s="224"/>
      <c r="B42" s="224"/>
      <c r="C42" s="472" t="s">
        <v>2283</v>
      </c>
      <c r="D42" s="224"/>
      <c r="N42" s="247"/>
    </row>
    <row r="43" spans="1:14" s="225" customFormat="1" ht="15.75" customHeight="1">
      <c r="A43" s="224"/>
      <c r="B43" s="224"/>
      <c r="C43" s="472" t="s">
        <v>2284</v>
      </c>
      <c r="D43" s="224"/>
      <c r="N43" s="247"/>
    </row>
    <row r="44" spans="1:14" s="225" customFormat="1" ht="15.75" customHeight="1">
      <c r="A44" s="224"/>
      <c r="B44" s="224"/>
      <c r="C44" s="472" t="s">
        <v>2285</v>
      </c>
      <c r="D44" s="472"/>
      <c r="N44" s="247"/>
    </row>
    <row r="45" spans="1:14" s="225" customFormat="1" ht="15.75" customHeight="1">
      <c r="A45" s="224"/>
      <c r="B45" s="224"/>
      <c r="C45" s="472" t="s">
        <v>2286</v>
      </c>
      <c r="D45" s="472"/>
      <c r="N45" s="247"/>
    </row>
    <row r="46" spans="1:14" s="225" customFormat="1" ht="15.75" customHeight="1">
      <c r="A46" s="224"/>
      <c r="B46" s="224"/>
      <c r="C46" s="472" t="s">
        <v>2287</v>
      </c>
      <c r="D46" s="472"/>
      <c r="N46" s="247"/>
    </row>
    <row r="47" spans="1:14" s="225" customFormat="1" ht="15.75" customHeight="1">
      <c r="A47" s="224"/>
      <c r="B47" s="224"/>
      <c r="C47" s="472" t="s">
        <v>2288</v>
      </c>
      <c r="D47" s="472"/>
      <c r="N47" s="247"/>
    </row>
    <row r="48" spans="1:14" s="225" customFormat="1" ht="15.75" customHeight="1">
      <c r="A48" s="224"/>
      <c r="B48" s="224"/>
      <c r="C48" s="472" t="s">
        <v>2289</v>
      </c>
      <c r="D48" s="472"/>
      <c r="N48" s="247"/>
    </row>
    <row r="49" spans="1:14" s="225" customFormat="1" ht="15.75" customHeight="1">
      <c r="A49" s="224"/>
      <c r="B49" s="224"/>
      <c r="C49" s="224"/>
      <c r="D49" s="472"/>
      <c r="N49" s="247"/>
    </row>
    <row r="50" spans="1:14" s="225" customFormat="1" ht="15.75" customHeight="1">
      <c r="A50" s="224"/>
      <c r="B50" s="224" t="s">
        <v>2055</v>
      </c>
      <c r="C50" s="472" t="s">
        <v>2290</v>
      </c>
      <c r="D50" s="472"/>
      <c r="N50" s="247" t="s">
        <v>2032</v>
      </c>
    </row>
    <row r="51" spans="1:14" s="225" customFormat="1" ht="15.75" customHeight="1">
      <c r="A51" s="224"/>
      <c r="B51" s="224"/>
      <c r="C51" s="472" t="s">
        <v>2291</v>
      </c>
      <c r="D51" s="472"/>
      <c r="N51" s="247"/>
    </row>
    <row r="52" spans="1:14" s="225" customFormat="1" ht="15.75" customHeight="1">
      <c r="A52" s="224"/>
      <c r="B52" s="224"/>
      <c r="C52" s="472" t="s">
        <v>2292</v>
      </c>
      <c r="D52" s="472"/>
      <c r="N52" s="247"/>
    </row>
    <row r="53" spans="1:14" s="225" customFormat="1" ht="15.75" customHeight="1">
      <c r="C53" s="224"/>
      <c r="D53" s="224"/>
      <c r="N53" s="247"/>
    </row>
    <row r="54" spans="1:14" s="225" customFormat="1" ht="15.75" customHeight="1">
      <c r="B54" s="224" t="s">
        <v>2061</v>
      </c>
      <c r="C54" s="472" t="s">
        <v>2293</v>
      </c>
      <c r="D54" s="224"/>
      <c r="N54" s="247" t="s">
        <v>1311</v>
      </c>
    </row>
    <row r="55" spans="1:14" s="225" customFormat="1" ht="15.75" customHeight="1">
      <c r="C55" s="224"/>
      <c r="D55" s="472"/>
      <c r="N55" s="247"/>
    </row>
    <row r="56" spans="1:14" s="225" customFormat="1" ht="15.75" customHeight="1">
      <c r="B56" s="224" t="s">
        <v>2070</v>
      </c>
      <c r="C56" s="224" t="s">
        <v>1386</v>
      </c>
      <c r="D56" s="472"/>
      <c r="N56" s="247" t="s">
        <v>1311</v>
      </c>
    </row>
    <row r="57" spans="1:14" s="225" customFormat="1" ht="15.75" customHeight="1">
      <c r="B57" s="224"/>
      <c r="C57" s="472" t="s">
        <v>2294</v>
      </c>
      <c r="D57" s="472"/>
      <c r="N57" s="247"/>
    </row>
    <row r="58" spans="1:14" s="225" customFormat="1" ht="15.75" customHeight="1">
      <c r="C58" s="472" t="s">
        <v>2295</v>
      </c>
      <c r="D58" s="472"/>
      <c r="N58" s="247"/>
    </row>
    <row r="59" spans="1:14" s="225" customFormat="1" ht="15.75" customHeight="1">
      <c r="B59" s="224"/>
      <c r="C59" s="472" t="s">
        <v>2296</v>
      </c>
      <c r="D59" s="472"/>
      <c r="N59" s="247"/>
    </row>
    <row r="60" spans="1:14" s="225" customFormat="1" ht="15.75" customHeight="1">
      <c r="B60" s="224"/>
      <c r="C60" s="472" t="s">
        <v>2297</v>
      </c>
      <c r="D60" s="472"/>
      <c r="N60" s="247"/>
    </row>
    <row r="61" spans="1:14" s="225" customFormat="1" ht="15.75" customHeight="1">
      <c r="D61" s="472"/>
      <c r="N61" s="247"/>
    </row>
    <row r="62" spans="1:14" s="225" customFormat="1" ht="15.75" customHeight="1">
      <c r="B62" s="224" t="s">
        <v>2076</v>
      </c>
      <c r="C62" s="224" t="s">
        <v>1391</v>
      </c>
      <c r="D62" s="472"/>
      <c r="N62" s="247"/>
    </row>
    <row r="63" spans="1:14" s="225" customFormat="1" ht="15.75" customHeight="1">
      <c r="D63" s="472"/>
      <c r="N63" s="247"/>
    </row>
    <row r="64" spans="1:14" s="225" customFormat="1" ht="15.75" customHeight="1">
      <c r="C64" s="224"/>
      <c r="D64" s="472"/>
    </row>
    <row r="65" spans="1:14" s="225" customFormat="1" ht="15.75" customHeight="1">
      <c r="D65" s="472"/>
    </row>
    <row r="66" spans="1:14" s="229" customFormat="1" ht="15.75" customHeight="1">
      <c r="A66" s="253"/>
      <c r="B66" s="253"/>
      <c r="C66" s="224"/>
      <c r="D66" s="224"/>
      <c r="E66" s="225"/>
      <c r="F66" s="225"/>
      <c r="G66" s="225"/>
      <c r="H66" s="225"/>
      <c r="I66" s="225"/>
      <c r="J66" s="225"/>
      <c r="K66" s="225"/>
      <c r="L66" s="225"/>
    </row>
    <row r="67" spans="1:14" s="225" customFormat="1" ht="15.75" customHeight="1">
      <c r="A67" s="264"/>
      <c r="B67" s="224"/>
      <c r="C67" s="224"/>
      <c r="D67" s="224"/>
    </row>
    <row r="68" spans="1:14" s="225" customFormat="1" ht="15.75" customHeight="1">
      <c r="A68" s="264"/>
      <c r="B68" s="264"/>
    </row>
    <row r="69" spans="1:14" s="225" customFormat="1" ht="15.75" customHeight="1">
      <c r="A69" s="264"/>
      <c r="B69" s="264"/>
      <c r="C69" s="224"/>
      <c r="D69" s="224"/>
    </row>
    <row r="70" spans="1:14" s="225" customFormat="1" ht="15.75" customHeight="1">
      <c r="A70" s="264"/>
      <c r="B70" s="264"/>
      <c r="D70" s="224"/>
    </row>
    <row r="71" spans="1:14" s="225" customFormat="1" ht="15.75" customHeight="1">
      <c r="A71" s="264"/>
      <c r="B71" s="264"/>
    </row>
    <row r="72" spans="1:14" s="225" customFormat="1" ht="15.75" customHeight="1">
      <c r="A72" s="264"/>
      <c r="B72" s="264"/>
      <c r="C72" s="224"/>
      <c r="D72" s="224"/>
    </row>
    <row r="73" spans="1:14" s="225" customFormat="1" ht="15.75" customHeight="1">
      <c r="A73" s="264"/>
      <c r="B73" s="264"/>
    </row>
    <row r="74" spans="1:14" s="225" customFormat="1" ht="15.75" customHeight="1">
      <c r="A74" s="264"/>
      <c r="B74" s="264"/>
      <c r="C74" s="224"/>
      <c r="D74" s="224"/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53"/>
      <c r="N76" s="247"/>
    </row>
    <row r="77" spans="1:14" s="225" customFormat="1" ht="15.75" customHeight="1">
      <c r="A77" s="264"/>
      <c r="B77" s="264"/>
    </row>
    <row r="78" spans="1:14" s="225" customFormat="1" ht="15.75" customHeight="1">
      <c r="A78" s="264"/>
      <c r="B78" s="253"/>
      <c r="C78" s="224"/>
      <c r="N78" s="247"/>
    </row>
    <row r="79" spans="1:14" s="225" customFormat="1" ht="15.75" customHeight="1">
      <c r="A79" s="264"/>
      <c r="B79" s="264"/>
    </row>
    <row r="80" spans="1:14" s="225" customFormat="1" ht="15.75" customHeight="1">
      <c r="A80" s="264"/>
      <c r="B80" s="253"/>
      <c r="C80" s="224"/>
      <c r="N80" s="247"/>
    </row>
    <row r="81" spans="1:14" s="225" customFormat="1" ht="15.75" customHeight="1">
      <c r="A81" s="264"/>
      <c r="B81" s="264"/>
      <c r="D81" s="224"/>
    </row>
    <row r="82" spans="1:14" s="225" customFormat="1" ht="15.75" customHeight="1">
      <c r="A82" s="264"/>
      <c r="B82" s="264"/>
      <c r="D82" s="224"/>
    </row>
    <row r="83" spans="1:14" s="225" customFormat="1" ht="15.75" customHeight="1">
      <c r="A83" s="264"/>
      <c r="B83" s="264"/>
    </row>
    <row r="84" spans="1:14" s="225" customFormat="1" ht="15.75" customHeight="1">
      <c r="A84" s="264"/>
      <c r="B84" s="253"/>
      <c r="C84" s="224"/>
      <c r="N84" s="247"/>
    </row>
    <row r="85" spans="1:14" s="225" customFormat="1" ht="15.75" customHeight="1">
      <c r="A85" s="264"/>
      <c r="B85" s="264"/>
    </row>
    <row r="86" spans="1:14" s="225" customFormat="1" ht="15.75" customHeight="1">
      <c r="B86" s="224"/>
      <c r="C86" s="224"/>
      <c r="N86" s="247"/>
    </row>
    <row r="87" spans="1:14" s="225" customFormat="1" ht="15.75" customHeight="1"/>
    <row r="88" spans="1:14" s="225" customFormat="1" ht="15.75" customHeight="1">
      <c r="B88" s="224"/>
      <c r="C88" s="224"/>
      <c r="N88" s="247"/>
    </row>
    <row r="89" spans="1:14" s="225" customFormat="1" ht="15.75" customHeight="1"/>
    <row r="90" spans="1:14" s="225" customFormat="1" ht="15.75" customHeight="1">
      <c r="B90" s="224"/>
      <c r="C90" s="227"/>
      <c r="N90" s="252"/>
    </row>
    <row r="91" spans="1:14" s="225" customFormat="1" ht="15.75" customHeight="1">
      <c r="D91" s="223"/>
    </row>
    <row r="92" spans="1:14" s="225" customFormat="1" ht="15.75" customHeight="1">
      <c r="D92" s="223"/>
    </row>
    <row r="93" spans="1:14" s="225" customFormat="1" ht="15.75" customHeight="1">
      <c r="D93" s="223"/>
    </row>
    <row r="94" spans="1:14" s="225" customFormat="1" ht="15.75" customHeight="1"/>
    <row r="95" spans="1:14" s="225" customFormat="1" ht="15.75" customHeight="1">
      <c r="B95" s="224"/>
      <c r="C95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39">
    <tabColor rgb="FF00B050"/>
  </sheetPr>
  <dimension ref="A1:J140"/>
  <sheetViews>
    <sheetView topLeftCell="A40" zoomScaleSheetLayoutView="85" workbookViewId="0">
      <selection activeCell="G8" sqref="G8"/>
    </sheetView>
  </sheetViews>
  <sheetFormatPr defaultRowHeight="15.75" customHeight="1"/>
  <cols>
    <col min="1" max="1" width="2.625" style="223" customWidth="1"/>
    <col min="2" max="2" width="19.125" style="223" customWidth="1"/>
    <col min="3" max="3" width="2.125" style="223" customWidth="1"/>
    <col min="4" max="4" width="16.125" style="223" customWidth="1"/>
    <col min="5" max="5" width="2.125" style="223" customWidth="1"/>
    <col min="6" max="6" width="16.125" style="236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5" style="223" customWidth="1"/>
    <col min="16" max="16" width="14.25" style="223" customWidth="1"/>
    <col min="17" max="16384" width="9" style="223"/>
  </cols>
  <sheetData>
    <row r="1" spans="1:10" ht="15.75" customHeight="1">
      <c r="A1" s="375" t="str">
        <f>기본사항!$C$2</f>
        <v>(재)한국여성재단</v>
      </c>
      <c r="B1" s="446"/>
      <c r="C1" s="446"/>
      <c r="D1" s="446"/>
      <c r="E1" s="446"/>
      <c r="F1" s="1271" t="s">
        <v>112</v>
      </c>
      <c r="G1" s="1272"/>
      <c r="H1" s="1273" t="s">
        <v>0</v>
      </c>
      <c r="I1" s="1273"/>
      <c r="J1" s="374" t="s">
        <v>1</v>
      </c>
    </row>
    <row r="2" spans="1:10" ht="15.75" customHeight="1">
      <c r="A2" s="375" t="str">
        <f>TableofContents!$D$30</f>
        <v>영업외수익, 영업외비용</v>
      </c>
      <c r="B2" s="446"/>
      <c r="C2" s="446"/>
      <c r="D2" s="446"/>
      <c r="E2" s="446"/>
      <c r="F2" s="1274" t="str">
        <f>TableofContents!$B$30</f>
        <v>S</v>
      </c>
      <c r="G2" s="1275"/>
      <c r="H2" s="1198">
        <f>기본사항!$C$14</f>
        <v>40563</v>
      </c>
      <c r="I2" s="1198"/>
      <c r="J2" s="1276" t="str">
        <f>기본사항!$C$17</f>
        <v>Kbj</v>
      </c>
    </row>
    <row r="3" spans="1:10" ht="15.75" customHeight="1">
      <c r="A3" s="375" t="str">
        <f>기본사항!$C$9</f>
        <v>A : 12-31-2011</v>
      </c>
      <c r="B3" s="446"/>
      <c r="C3" s="446"/>
      <c r="D3" s="446"/>
      <c r="E3" s="446"/>
      <c r="F3" s="1257"/>
      <c r="G3" s="1258"/>
      <c r="H3" s="1198"/>
      <c r="I3" s="1198"/>
      <c r="J3" s="1264"/>
    </row>
    <row r="6" spans="1:10" ht="15.75" customHeight="1">
      <c r="D6" s="221">
        <f>기본사항!$C$11</f>
        <v>40543</v>
      </c>
      <c r="F6" s="447" t="s">
        <v>711</v>
      </c>
      <c r="H6" s="221">
        <f>기본사항!$C$12</f>
        <v>40908</v>
      </c>
    </row>
    <row r="7" spans="1:10" s="234" customFormat="1" ht="15.75" hidden="1" customHeight="1">
      <c r="A7" s="254" t="str">
        <f>FS_worksheet!$B$199</f>
        <v>영업외수익</v>
      </c>
      <c r="B7" s="254"/>
      <c r="C7" s="254"/>
      <c r="D7" s="262" t="e">
        <f>SUM(D8:D14)</f>
        <v>#REF!</v>
      </c>
      <c r="E7" s="262"/>
      <c r="F7" s="255" t="e">
        <f>SUM(F8:F14)</f>
        <v>#REF!</v>
      </c>
      <c r="G7" s="263"/>
      <c r="H7" s="262" t="e">
        <f>SUM(H8:H14)</f>
        <v>#REF!</v>
      </c>
    </row>
    <row r="8" spans="1:10" s="233" customFormat="1" ht="15.75" hidden="1" customHeight="1">
      <c r="A8" s="230"/>
      <c r="B8" s="231" t="e">
        <f>FS_worksheet!C200</f>
        <v>#REF!</v>
      </c>
      <c r="C8" s="230"/>
      <c r="D8" s="230" t="e">
        <f>VLOOKUP($B8,FS_worksheet!$C$131:$H$221,3,FALSE)</f>
        <v>#REF!</v>
      </c>
      <c r="E8" s="230"/>
      <c r="F8" s="231" t="e">
        <f t="shared" ref="F8:F14" si="0">H8-D8</f>
        <v>#REF!</v>
      </c>
      <c r="G8" s="232"/>
      <c r="H8" s="230" t="e">
        <f>VLOOKUP($B8,FS_worksheet!$C$131:$H$221,5,FALSE)</f>
        <v>#REF!</v>
      </c>
    </row>
    <row r="9" spans="1:10" s="233" customFormat="1" ht="15.75" hidden="1" customHeight="1">
      <c r="B9" s="234" t="e">
        <f>FS_worksheet!C201</f>
        <v>#REF!</v>
      </c>
      <c r="D9" s="233" t="e">
        <f>VLOOKUP($B9,FS_worksheet!$C$131:$H$221,3,FALSE)</f>
        <v>#REF!</v>
      </c>
      <c r="F9" s="234" t="e">
        <f t="shared" si="0"/>
        <v>#REF!</v>
      </c>
      <c r="G9" s="235"/>
      <c r="H9" s="233" t="e">
        <f>VLOOKUP($B9,FS_worksheet!$C$131:$H$221,5,FALSE)</f>
        <v>#REF!</v>
      </c>
    </row>
    <row r="10" spans="1:10" s="233" customFormat="1" ht="15.75" hidden="1" customHeight="1">
      <c r="A10" s="230"/>
      <c r="B10" s="231" t="e">
        <f>FS_worksheet!C202</f>
        <v>#REF!</v>
      </c>
      <c r="C10" s="230"/>
      <c r="D10" s="230" t="e">
        <f>VLOOKUP($B10,FS_worksheet!$C$131:$H$221,3,FALSE)</f>
        <v>#REF!</v>
      </c>
      <c r="E10" s="230"/>
      <c r="F10" s="231" t="e">
        <f t="shared" si="0"/>
        <v>#REF!</v>
      </c>
      <c r="G10" s="232"/>
      <c r="H10" s="230" t="e">
        <f>VLOOKUP($B10,FS_worksheet!$C$131:$H$221,5,FALSE)</f>
        <v>#REF!</v>
      </c>
    </row>
    <row r="11" spans="1:10" s="233" customFormat="1" ht="15.75" hidden="1" customHeight="1">
      <c r="B11" s="234" t="e">
        <f>FS_worksheet!C203</f>
        <v>#REF!</v>
      </c>
      <c r="D11" s="233" t="e">
        <f>VLOOKUP($B11,FS_worksheet!$C$131:$H$221,3,FALSE)</f>
        <v>#REF!</v>
      </c>
      <c r="F11" s="234" t="e">
        <f t="shared" si="0"/>
        <v>#REF!</v>
      </c>
      <c r="G11" s="235"/>
      <c r="H11" s="233" t="e">
        <f>VLOOKUP($B11,FS_worksheet!$C$131:$H$221,5,FALSE)</f>
        <v>#REF!</v>
      </c>
    </row>
    <row r="12" spans="1:10" s="233" customFormat="1" ht="15.75" hidden="1" customHeight="1">
      <c r="A12" s="230"/>
      <c r="B12" s="231" t="e">
        <f>FS_worksheet!C204</f>
        <v>#REF!</v>
      </c>
      <c r="C12" s="230"/>
      <c r="D12" s="230" t="e">
        <f>VLOOKUP($B12,FS_worksheet!$C$131:$H$221,3,FALSE)</f>
        <v>#REF!</v>
      </c>
      <c r="E12" s="230"/>
      <c r="F12" s="231" t="e">
        <f t="shared" si="0"/>
        <v>#REF!</v>
      </c>
      <c r="G12" s="232"/>
      <c r="H12" s="230" t="e">
        <f>VLOOKUP($B12,FS_worksheet!$C$131:$H$221,5,FALSE)</f>
        <v>#REF!</v>
      </c>
    </row>
    <row r="13" spans="1:10" s="233" customFormat="1" ht="15.75" hidden="1" customHeight="1">
      <c r="B13" s="234" t="e">
        <f>FS_worksheet!C205</f>
        <v>#REF!</v>
      </c>
      <c r="D13" s="233" t="e">
        <f>VLOOKUP($B13,FS_worksheet!$C$131:$H$221,3,FALSE)</f>
        <v>#REF!</v>
      </c>
      <c r="F13" s="234" t="e">
        <f t="shared" si="0"/>
        <v>#REF!</v>
      </c>
      <c r="G13" s="235"/>
      <c r="H13" s="233" t="e">
        <f>VLOOKUP($B13,FS_worksheet!$C$131:$H$221,5,FALSE)</f>
        <v>#REF!</v>
      </c>
    </row>
    <row r="14" spans="1:10" s="233" customFormat="1" ht="15.75" hidden="1" customHeight="1">
      <c r="A14" s="230"/>
      <c r="B14" s="231" t="str">
        <f>FS_worksheet!C206</f>
        <v>가나</v>
      </c>
      <c r="C14" s="230"/>
      <c r="D14" s="230">
        <f>VLOOKUP($B14,FS_worksheet!$C$131:$H$221,3,FALSE)</f>
        <v>0</v>
      </c>
      <c r="E14" s="230"/>
      <c r="F14" s="231">
        <f t="shared" si="0"/>
        <v>0</v>
      </c>
      <c r="G14" s="232"/>
      <c r="H14" s="230">
        <f>VLOOKUP($B14,FS_worksheet!$C$131:$H$221,5,FALSE)</f>
        <v>0</v>
      </c>
    </row>
    <row r="15" spans="1:10" s="233" customFormat="1" ht="15.75" hidden="1" customHeight="1">
      <c r="A15" s="257"/>
      <c r="B15" s="234"/>
      <c r="D15" s="223"/>
      <c r="E15" s="234"/>
      <c r="F15" s="261"/>
      <c r="G15" s="234"/>
      <c r="H15" s="223"/>
    </row>
    <row r="16" spans="1:10" s="233" customFormat="1" ht="15.75" customHeight="1">
      <c r="A16" s="254" t="str">
        <f>FS_worksheet!$B$207</f>
        <v>영업외비용</v>
      </c>
      <c r="B16" s="254"/>
      <c r="C16" s="254"/>
      <c r="D16" s="262">
        <f>SUM(D17:D18)</f>
        <v>675432</v>
      </c>
      <c r="E16" s="262"/>
      <c r="F16" s="255">
        <f>SUM(F17:F18)</f>
        <v>-635678</v>
      </c>
      <c r="G16" s="263"/>
      <c r="H16" s="262">
        <f>SUM(H17:H18)</f>
        <v>39754</v>
      </c>
    </row>
    <row r="17" spans="1:8" s="233" customFormat="1" ht="15.75" customHeight="1">
      <c r="A17" s="230"/>
      <c r="B17" s="231" t="str">
        <f>FS_worksheet!C208</f>
        <v xml:space="preserve">      외   환    차   손</v>
      </c>
      <c r="C17" s="230"/>
      <c r="D17" s="230">
        <f>VLOOKUP($B17,FS_worksheet!$C$131:$H$221,3,FALSE)</f>
        <v>0</v>
      </c>
      <c r="E17" s="230"/>
      <c r="F17" s="231">
        <f t="shared" ref="F17:F18" si="1">H17-D17</f>
        <v>39754</v>
      </c>
      <c r="G17" s="232"/>
      <c r="H17" s="230">
        <f>VLOOKUP($B17,FS_worksheet!$C$131:$H$221,5,FALSE)</f>
        <v>39754</v>
      </c>
    </row>
    <row r="18" spans="1:8" s="233" customFormat="1" ht="15.75" customHeight="1">
      <c r="B18" s="234" t="str">
        <f>FS_worksheet!C209</f>
        <v xml:space="preserve">      외 화  환 산 손 실</v>
      </c>
      <c r="D18" s="233">
        <f>VLOOKUP($B18,FS_worksheet!$C$131:$H$221,3,FALSE)</f>
        <v>675432</v>
      </c>
      <c r="F18" s="234">
        <f t="shared" si="1"/>
        <v>-675432</v>
      </c>
      <c r="G18" s="235"/>
      <c r="H18" s="233">
        <f>VLOOKUP($B18,FS_worksheet!$C$131:$H$221,5,FALSE)</f>
        <v>0</v>
      </c>
    </row>
    <row r="19" spans="1:8" s="233" customFormat="1" ht="15.75" customHeight="1">
      <c r="F19" s="258"/>
    </row>
    <row r="20" spans="1:8" s="233" customFormat="1" ht="15.75" customHeight="1">
      <c r="F20" s="258"/>
    </row>
    <row r="21" spans="1:8" ht="15.75" customHeight="1">
      <c r="A21" s="222" t="s">
        <v>722</v>
      </c>
      <c r="F21" s="223"/>
    </row>
    <row r="22" spans="1:8" ht="15.75" customHeight="1">
      <c r="A22" s="224" t="s">
        <v>247</v>
      </c>
      <c r="B22" s="223" t="s">
        <v>746</v>
      </c>
      <c r="F22" s="223"/>
    </row>
    <row r="23" spans="1:8" ht="15.75" customHeight="1">
      <c r="A23" s="224" t="s">
        <v>34</v>
      </c>
      <c r="B23" s="223" t="s">
        <v>747</v>
      </c>
      <c r="F23" s="223"/>
    </row>
    <row r="24" spans="1:8" ht="15.75" customHeight="1">
      <c r="A24" s="224" t="s">
        <v>35</v>
      </c>
      <c r="B24" s="223" t="s">
        <v>748</v>
      </c>
      <c r="F24" s="223"/>
    </row>
    <row r="25" spans="1:8" ht="15.75" customHeight="1">
      <c r="A25" s="224" t="s">
        <v>36</v>
      </c>
      <c r="B25" s="223" t="s">
        <v>749</v>
      </c>
      <c r="F25" s="223"/>
    </row>
    <row r="26" spans="1:8" ht="15.75" customHeight="1">
      <c r="F26" s="223"/>
    </row>
    <row r="27" spans="1:8" ht="15.75" customHeight="1">
      <c r="F27" s="223"/>
    </row>
    <row r="28" spans="1:8" ht="15.75" customHeight="1">
      <c r="A28" s="222" t="s">
        <v>723</v>
      </c>
      <c r="F28" s="223"/>
    </row>
    <row r="29" spans="1:8" ht="15.75" customHeight="1">
      <c r="A29" s="227" t="s">
        <v>247</v>
      </c>
      <c r="B29" s="223" t="s">
        <v>750</v>
      </c>
      <c r="F29" s="223"/>
    </row>
    <row r="30" spans="1:8" s="225" customFormat="1" ht="15.75" customHeight="1">
      <c r="B30" s="223" t="s">
        <v>751</v>
      </c>
    </row>
    <row r="31" spans="1:8" s="225" customFormat="1" ht="15.75" customHeight="1">
      <c r="B31" s="223" t="s">
        <v>726</v>
      </c>
    </row>
    <row r="32" spans="1:8" s="225" customFormat="1" ht="15.75" customHeight="1">
      <c r="B32" s="223" t="s">
        <v>727</v>
      </c>
    </row>
    <row r="33" spans="1:6" s="225" customFormat="1" ht="15.75" customHeight="1">
      <c r="B33" s="223" t="s">
        <v>728</v>
      </c>
    </row>
    <row r="34" spans="1:6" s="225" customFormat="1" ht="15.75" customHeight="1">
      <c r="B34" s="227" t="s">
        <v>744</v>
      </c>
    </row>
    <row r="35" spans="1:6" s="225" customFormat="1" ht="15.75" customHeight="1">
      <c r="B35" s="223" t="s">
        <v>729</v>
      </c>
    </row>
    <row r="36" spans="1:6" s="225" customFormat="1" ht="15.75" customHeight="1">
      <c r="B36" s="223" t="s">
        <v>730</v>
      </c>
    </row>
    <row r="37" spans="1:6" ht="15.75" customHeight="1">
      <c r="B37" s="223" t="s">
        <v>731</v>
      </c>
      <c r="F37" s="223"/>
    </row>
    <row r="38" spans="1:6" ht="15.75" customHeight="1">
      <c r="B38" s="223" t="s">
        <v>732</v>
      </c>
      <c r="F38" s="223"/>
    </row>
    <row r="39" spans="1:6" ht="15.75" customHeight="1">
      <c r="B39" s="223" t="s">
        <v>733</v>
      </c>
      <c r="F39" s="223"/>
    </row>
    <row r="40" spans="1:6" ht="15.75" customHeight="1">
      <c r="B40" s="223" t="s">
        <v>734</v>
      </c>
      <c r="F40" s="223"/>
    </row>
    <row r="41" spans="1:6" ht="15.75" customHeight="1">
      <c r="A41" s="227" t="s">
        <v>360</v>
      </c>
      <c r="B41" s="223" t="s">
        <v>2886</v>
      </c>
      <c r="F41" s="223"/>
    </row>
    <row r="42" spans="1:6" ht="15.75" customHeight="1">
      <c r="B42" s="223" t="s">
        <v>752</v>
      </c>
      <c r="F42" s="223"/>
    </row>
    <row r="43" spans="1:6" ht="15.75" customHeight="1">
      <c r="B43" s="223" t="s">
        <v>753</v>
      </c>
      <c r="F43" s="223"/>
    </row>
    <row r="44" spans="1:6" ht="15.75" customHeight="1">
      <c r="B44" s="223" t="s">
        <v>735</v>
      </c>
      <c r="F44" s="223"/>
    </row>
    <row r="45" spans="1:6" ht="15.75" customHeight="1">
      <c r="B45" s="223" t="s">
        <v>736</v>
      </c>
      <c r="F45" s="223"/>
    </row>
    <row r="46" spans="1:6" ht="15.75" customHeight="1">
      <c r="B46" s="223" t="s">
        <v>737</v>
      </c>
      <c r="F46" s="223"/>
    </row>
    <row r="47" spans="1:6" ht="15.75" customHeight="1">
      <c r="B47" s="227" t="s">
        <v>745</v>
      </c>
      <c r="F47" s="223"/>
    </row>
    <row r="48" spans="1:6" ht="15.75" customHeight="1">
      <c r="B48" s="223" t="s">
        <v>738</v>
      </c>
      <c r="F48" s="223"/>
    </row>
    <row r="49" spans="1:6" ht="15.75" customHeight="1">
      <c r="B49" s="223" t="s">
        <v>739</v>
      </c>
      <c r="F49" s="223"/>
    </row>
    <row r="50" spans="1:6" ht="15.75" customHeight="1">
      <c r="B50" s="223" t="s">
        <v>740</v>
      </c>
      <c r="F50" s="223"/>
    </row>
    <row r="51" spans="1:6" ht="15.75" customHeight="1">
      <c r="B51" s="223" t="s">
        <v>741</v>
      </c>
      <c r="F51" s="223"/>
    </row>
    <row r="52" spans="1:6" ht="15.75" customHeight="1">
      <c r="B52" s="223" t="s">
        <v>742</v>
      </c>
      <c r="F52" s="223"/>
    </row>
    <row r="53" spans="1:6" ht="15.75" customHeight="1">
      <c r="B53" s="223" t="s">
        <v>743</v>
      </c>
      <c r="F53" s="223"/>
    </row>
    <row r="54" spans="1:6" ht="15.75" customHeight="1">
      <c r="F54" s="223"/>
    </row>
    <row r="55" spans="1:6" s="225" customFormat="1" ht="15.75" customHeight="1">
      <c r="A55" s="228" t="s">
        <v>248</v>
      </c>
    </row>
    <row r="56" spans="1:6" s="225" customFormat="1" ht="15.75" customHeight="1">
      <c r="B56" s="225" t="s">
        <v>4816</v>
      </c>
    </row>
    <row r="57" spans="1:6" s="225" customFormat="1" ht="15.75" customHeight="1"/>
    <row r="58" spans="1:6" ht="15.75" customHeight="1">
      <c r="A58" s="228" t="s">
        <v>762</v>
      </c>
      <c r="B58" s="225"/>
      <c r="C58" s="225"/>
      <c r="D58" s="225"/>
      <c r="E58" s="225"/>
      <c r="F58" s="225"/>
    </row>
    <row r="59" spans="1:6" ht="15.75" customHeight="1">
      <c r="A59" s="253" t="s">
        <v>761</v>
      </c>
      <c r="B59" s="225"/>
      <c r="C59" s="225"/>
      <c r="D59" s="225"/>
      <c r="E59" s="225"/>
      <c r="F59" s="225"/>
    </row>
    <row r="60" spans="1:6" ht="15.75" customHeight="1">
      <c r="A60" s="264"/>
      <c r="B60" s="225" t="s">
        <v>754</v>
      </c>
      <c r="C60" s="225"/>
      <c r="D60" s="225"/>
      <c r="E60" s="225"/>
      <c r="F60" s="225" t="s">
        <v>755</v>
      </c>
    </row>
    <row r="61" spans="1:6" ht="15.75" customHeight="1">
      <c r="F61" s="223"/>
    </row>
    <row r="62" spans="1:6" ht="15.75" customHeight="1">
      <c r="F62" s="223"/>
    </row>
    <row r="63" spans="1:6" ht="15.75" customHeight="1">
      <c r="F63" s="223"/>
    </row>
    <row r="64" spans="1:6" ht="15.75" customHeight="1">
      <c r="F64" s="223"/>
    </row>
    <row r="65" spans="6:6" ht="15.75" customHeight="1">
      <c r="F65" s="223"/>
    </row>
    <row r="66" spans="6:6" ht="15.75" customHeight="1">
      <c r="F66" s="223"/>
    </row>
    <row r="67" spans="6:6" ht="15.75" customHeight="1">
      <c r="F67" s="223"/>
    </row>
    <row r="68" spans="6:6" ht="15.75" customHeight="1">
      <c r="F68" s="223"/>
    </row>
    <row r="69" spans="6:6" ht="15.75" customHeight="1">
      <c r="F69" s="223"/>
    </row>
    <row r="70" spans="6:6" ht="15.75" customHeight="1">
      <c r="F70" s="223"/>
    </row>
    <row r="71" spans="6:6" ht="15.75" customHeight="1">
      <c r="F71" s="223"/>
    </row>
    <row r="72" spans="6:6" ht="15.75" customHeight="1">
      <c r="F72" s="223"/>
    </row>
    <row r="73" spans="6:6" ht="15.75" customHeight="1">
      <c r="F73" s="223"/>
    </row>
    <row r="74" spans="6:6" ht="15.75" customHeight="1">
      <c r="F74" s="223"/>
    </row>
    <row r="75" spans="6:6" ht="15.75" customHeight="1">
      <c r="F75" s="223"/>
    </row>
    <row r="76" spans="6:6" ht="15.75" customHeight="1">
      <c r="F76" s="223"/>
    </row>
    <row r="77" spans="6:6" ht="15.75" customHeight="1">
      <c r="F77" s="223"/>
    </row>
    <row r="78" spans="6:6" ht="15.75" customHeight="1">
      <c r="F78" s="223"/>
    </row>
    <row r="79" spans="6:6" ht="15.75" customHeight="1">
      <c r="F79" s="223"/>
    </row>
    <row r="80" spans="6:6" ht="15.75" customHeight="1">
      <c r="F80" s="223"/>
    </row>
    <row r="81" spans="6:6" ht="15.75" customHeight="1">
      <c r="F81" s="223"/>
    </row>
    <row r="82" spans="6:6" ht="15.75" customHeight="1">
      <c r="F82" s="223"/>
    </row>
    <row r="83" spans="6:6" ht="15.75" customHeight="1">
      <c r="F83" s="223"/>
    </row>
    <row r="84" spans="6:6" ht="15.75" customHeight="1">
      <c r="F84" s="223"/>
    </row>
    <row r="85" spans="6:6" ht="15.75" customHeight="1">
      <c r="F85" s="223"/>
    </row>
    <row r="86" spans="6:6" ht="15.75" customHeight="1">
      <c r="F86" s="223"/>
    </row>
    <row r="87" spans="6:6" ht="15.75" customHeight="1">
      <c r="F87" s="223"/>
    </row>
    <row r="88" spans="6:6" ht="15.75" customHeight="1">
      <c r="F88" s="223"/>
    </row>
    <row r="89" spans="6:6" ht="15.75" customHeight="1">
      <c r="F89" s="223"/>
    </row>
    <row r="90" spans="6:6" ht="15.75" customHeight="1">
      <c r="F90" s="223"/>
    </row>
    <row r="91" spans="6:6" ht="15.75" customHeight="1">
      <c r="F91" s="223"/>
    </row>
    <row r="92" spans="6:6" ht="15.75" customHeight="1">
      <c r="F92" s="223"/>
    </row>
    <row r="93" spans="6:6" ht="15.75" customHeight="1">
      <c r="F93" s="223"/>
    </row>
    <row r="94" spans="6:6" ht="15.75" customHeight="1">
      <c r="F94" s="223"/>
    </row>
    <row r="95" spans="6:6" ht="15.75" customHeight="1">
      <c r="F95" s="223"/>
    </row>
    <row r="96" spans="6:6" ht="15.75" customHeight="1">
      <c r="F96" s="223"/>
    </row>
    <row r="97" spans="6:6" ht="15.75" customHeight="1">
      <c r="F97" s="223"/>
    </row>
    <row r="98" spans="6:6" ht="15.75" customHeight="1">
      <c r="F98" s="223"/>
    </row>
    <row r="99" spans="6:6" ht="15.75" customHeight="1">
      <c r="F99" s="223"/>
    </row>
    <row r="100" spans="6:6" ht="15.75" customHeight="1">
      <c r="F100" s="223"/>
    </row>
    <row r="101" spans="6:6" ht="15.75" customHeight="1">
      <c r="F101" s="223"/>
    </row>
    <row r="102" spans="6:6" ht="15.75" customHeight="1">
      <c r="F102" s="223"/>
    </row>
    <row r="103" spans="6:6" ht="15.75" customHeight="1">
      <c r="F103" s="223"/>
    </row>
    <row r="104" spans="6:6" ht="15.75" customHeight="1">
      <c r="F104" s="223"/>
    </row>
    <row r="105" spans="6:6" ht="15.75" customHeight="1">
      <c r="F105" s="223"/>
    </row>
    <row r="106" spans="6:6" ht="15.75" customHeight="1">
      <c r="F106" s="223"/>
    </row>
    <row r="107" spans="6:6" ht="15.75" customHeight="1">
      <c r="F107" s="223"/>
    </row>
    <row r="108" spans="6:6" ht="15.75" customHeight="1">
      <c r="F108" s="223"/>
    </row>
    <row r="109" spans="6:6" ht="15.75" customHeight="1">
      <c r="F109" s="223"/>
    </row>
    <row r="110" spans="6:6" ht="15.75" customHeight="1">
      <c r="F110" s="223"/>
    </row>
    <row r="111" spans="6:6" ht="15.75" customHeight="1">
      <c r="F111" s="223"/>
    </row>
    <row r="112" spans="6:6" ht="15.75" customHeight="1">
      <c r="F112" s="223"/>
    </row>
    <row r="113" spans="6:6" ht="15.75" customHeight="1">
      <c r="F113" s="223"/>
    </row>
    <row r="114" spans="6:6" ht="15.75" customHeight="1">
      <c r="F114" s="223"/>
    </row>
    <row r="115" spans="6:6" ht="15.75" customHeight="1">
      <c r="F115" s="223"/>
    </row>
    <row r="116" spans="6:6" ht="15.75" customHeight="1">
      <c r="F116" s="223"/>
    </row>
    <row r="117" spans="6:6" ht="15.75" customHeight="1">
      <c r="F117" s="223"/>
    </row>
    <row r="118" spans="6:6" ht="15.75" customHeight="1">
      <c r="F118" s="223"/>
    </row>
    <row r="119" spans="6:6" ht="15.75" customHeight="1">
      <c r="F119" s="223"/>
    </row>
    <row r="120" spans="6:6" ht="15.75" customHeight="1">
      <c r="F120" s="223"/>
    </row>
    <row r="121" spans="6:6" ht="15.75" customHeight="1">
      <c r="F121" s="223"/>
    </row>
    <row r="122" spans="6:6" ht="15.75" customHeight="1">
      <c r="F122" s="223"/>
    </row>
    <row r="123" spans="6:6" ht="15.75" customHeight="1">
      <c r="F123" s="223"/>
    </row>
    <row r="124" spans="6:6" ht="15.75" customHeight="1">
      <c r="F124" s="223"/>
    </row>
    <row r="125" spans="6:6" ht="15.75" customHeight="1">
      <c r="F125" s="223"/>
    </row>
    <row r="126" spans="6:6" ht="15.75" customHeight="1">
      <c r="F126" s="223"/>
    </row>
    <row r="127" spans="6:6" ht="15.75" customHeight="1">
      <c r="F127" s="223"/>
    </row>
    <row r="128" spans="6:6" ht="15.75" customHeight="1">
      <c r="F128" s="223"/>
    </row>
    <row r="129" spans="6:6" ht="15.75" customHeight="1">
      <c r="F129" s="223"/>
    </row>
    <row r="130" spans="6:6" ht="15.75" customHeight="1">
      <c r="F130" s="223"/>
    </row>
    <row r="131" spans="6:6" ht="15.75" customHeight="1">
      <c r="F131" s="223"/>
    </row>
    <row r="132" spans="6:6" ht="15.75" customHeight="1">
      <c r="F132" s="223"/>
    </row>
    <row r="133" spans="6:6" ht="15.75" customHeight="1">
      <c r="F133" s="223"/>
    </row>
    <row r="134" spans="6:6" ht="15.75" customHeight="1">
      <c r="F134" s="223"/>
    </row>
    <row r="135" spans="6:6" ht="15.75" customHeight="1">
      <c r="F135" s="223"/>
    </row>
    <row r="136" spans="6:6" ht="15.75" customHeight="1">
      <c r="F136" s="223"/>
    </row>
    <row r="137" spans="6:6" ht="15.75" customHeight="1">
      <c r="F137" s="223"/>
    </row>
    <row r="138" spans="6:6" ht="15.75" customHeight="1">
      <c r="F138" s="223"/>
    </row>
    <row r="139" spans="6:6" ht="15.75" customHeight="1">
      <c r="F139" s="223"/>
    </row>
    <row r="140" spans="6:6" ht="15.75" customHeight="1">
      <c r="F140" s="223"/>
    </row>
  </sheetData>
  <mergeCells count="5">
    <mergeCell ref="F1:G1"/>
    <mergeCell ref="H1:I1"/>
    <mergeCell ref="F2:G3"/>
    <mergeCell ref="H2:I3"/>
    <mergeCell ref="J2:J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9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41">
    <tabColor rgb="FF00B050"/>
  </sheetPr>
  <dimension ref="A1:D40"/>
  <sheetViews>
    <sheetView workbookViewId="0">
      <selection activeCell="F6" sqref="F6"/>
    </sheetView>
  </sheetViews>
  <sheetFormatPr defaultRowHeight="15.75" customHeight="1"/>
  <cols>
    <col min="1" max="1" width="71.5" style="223" customWidth="1"/>
    <col min="2" max="4" width="15.625" style="223" customWidth="1"/>
    <col min="5" max="16384" width="9" style="223"/>
  </cols>
  <sheetData>
    <row r="1" spans="1:4" ht="15.75" customHeight="1">
      <c r="A1" s="371" t="str">
        <f>기본사항!$C$2</f>
        <v>(재)한국여성재단</v>
      </c>
      <c r="B1" s="373" t="s">
        <v>240</v>
      </c>
      <c r="C1" s="374" t="s">
        <v>241</v>
      </c>
      <c r="D1" s="374" t="s">
        <v>242</v>
      </c>
    </row>
    <row r="2" spans="1:4" ht="15.75" customHeight="1">
      <c r="A2" s="371" t="str">
        <f>TableofContents!$D$32</f>
        <v>중단사업손익</v>
      </c>
      <c r="B2" s="1274" t="str">
        <f>TableofContents!$B$32</f>
        <v>U</v>
      </c>
      <c r="C2" s="1198">
        <f>기본사항!$C$14</f>
        <v>40563</v>
      </c>
      <c r="D2" s="1276" t="str">
        <f>기본사항!$C$17</f>
        <v>Kbj</v>
      </c>
    </row>
    <row r="3" spans="1:4" ht="15.75" customHeight="1">
      <c r="A3" s="375" t="str">
        <f>기본사항!$C$9</f>
        <v>A : 12-31-2011</v>
      </c>
      <c r="B3" s="1257"/>
      <c r="C3" s="1198"/>
      <c r="D3" s="1264"/>
    </row>
    <row r="4" spans="1:4" ht="15.75" customHeight="1">
      <c r="A4" s="236"/>
    </row>
    <row r="6" spans="1:4" ht="15.75" customHeight="1">
      <c r="A6" s="1309" t="s">
        <v>144</v>
      </c>
      <c r="B6" s="1309"/>
      <c r="C6" s="1309"/>
      <c r="D6" s="379" t="s">
        <v>145</v>
      </c>
    </row>
    <row r="7" spans="1:4" ht="15.75" customHeight="1">
      <c r="A7" s="1310" t="s">
        <v>146</v>
      </c>
      <c r="B7" s="1310"/>
      <c r="C7" s="1310"/>
      <c r="D7" s="456"/>
    </row>
    <row r="8" spans="1:4" ht="15.75" customHeight="1">
      <c r="A8" s="1308" t="s">
        <v>147</v>
      </c>
      <c r="B8" s="1308"/>
      <c r="C8" s="1308"/>
      <c r="D8" s="457"/>
    </row>
    <row r="9" spans="1:4" ht="15.75" customHeight="1">
      <c r="A9" s="1311"/>
      <c r="B9" s="1311"/>
      <c r="C9" s="1311"/>
      <c r="D9" s="457"/>
    </row>
    <row r="10" spans="1:4" ht="15.75" customHeight="1">
      <c r="A10" s="1312" t="s">
        <v>148</v>
      </c>
      <c r="B10" s="1312"/>
      <c r="C10" s="1312"/>
      <c r="D10" s="457"/>
    </row>
    <row r="11" spans="1:4" ht="15.75" customHeight="1">
      <c r="A11" s="1311" t="s">
        <v>149</v>
      </c>
      <c r="B11" s="1311"/>
      <c r="C11" s="1311"/>
      <c r="D11" s="457"/>
    </row>
    <row r="12" spans="1:4" ht="15.75" customHeight="1">
      <c r="A12" s="1311" t="s">
        <v>150</v>
      </c>
      <c r="B12" s="1311"/>
      <c r="C12" s="1311"/>
      <c r="D12" s="457"/>
    </row>
    <row r="13" spans="1:4" ht="15.75" customHeight="1">
      <c r="A13" s="1311" t="s">
        <v>151</v>
      </c>
      <c r="B13" s="1311"/>
      <c r="C13" s="1311"/>
      <c r="D13" s="457"/>
    </row>
    <row r="14" spans="1:4" ht="15.75" customHeight="1">
      <c r="A14" s="1312" t="s">
        <v>152</v>
      </c>
      <c r="B14" s="1312"/>
      <c r="C14" s="1312"/>
      <c r="D14" s="457"/>
    </row>
    <row r="15" spans="1:4" ht="15.75" customHeight="1">
      <c r="A15" s="1311" t="s">
        <v>255</v>
      </c>
      <c r="B15" s="1311"/>
      <c r="C15" s="1311"/>
      <c r="D15" s="457"/>
    </row>
    <row r="16" spans="1:4" ht="15.75" customHeight="1">
      <c r="A16" s="1311" t="s">
        <v>256</v>
      </c>
      <c r="B16" s="1311"/>
      <c r="C16" s="1311"/>
      <c r="D16" s="457"/>
    </row>
    <row r="17" spans="1:4" ht="15.75" customHeight="1">
      <c r="A17" s="1311" t="s">
        <v>257</v>
      </c>
      <c r="B17" s="1311"/>
      <c r="C17" s="1311"/>
      <c r="D17" s="457"/>
    </row>
    <row r="18" spans="1:4" ht="15.75" customHeight="1">
      <c r="A18" s="1311"/>
      <c r="B18" s="1311"/>
      <c r="C18" s="1311"/>
      <c r="D18" s="457"/>
    </row>
    <row r="19" spans="1:4" ht="15.75" customHeight="1">
      <c r="A19" s="1312" t="s">
        <v>153</v>
      </c>
      <c r="B19" s="1312"/>
      <c r="C19" s="1312"/>
      <c r="D19" s="457"/>
    </row>
    <row r="20" spans="1:4" ht="15.75" customHeight="1">
      <c r="A20" s="1311" t="s">
        <v>258</v>
      </c>
      <c r="B20" s="1311"/>
      <c r="C20" s="1311"/>
      <c r="D20" s="457"/>
    </row>
    <row r="21" spans="1:4" ht="15.75" customHeight="1">
      <c r="A21" s="1311" t="s">
        <v>259</v>
      </c>
      <c r="B21" s="1311"/>
      <c r="C21" s="1311"/>
      <c r="D21" s="457"/>
    </row>
    <row r="22" spans="1:4" ht="15.75" customHeight="1">
      <c r="A22" s="1311" t="s">
        <v>260</v>
      </c>
      <c r="B22" s="1311"/>
      <c r="C22" s="1311"/>
      <c r="D22" s="457"/>
    </row>
    <row r="23" spans="1:4" ht="15.75" customHeight="1">
      <c r="A23" s="1311" t="s">
        <v>261</v>
      </c>
      <c r="B23" s="1311"/>
      <c r="C23" s="1311"/>
      <c r="D23" s="457"/>
    </row>
    <row r="24" spans="1:4" ht="15.75" customHeight="1">
      <c r="A24" s="1311" t="s">
        <v>262</v>
      </c>
      <c r="B24" s="1311"/>
      <c r="C24" s="1311"/>
      <c r="D24" s="457"/>
    </row>
    <row r="25" spans="1:4" ht="15.75" customHeight="1">
      <c r="A25" s="1311"/>
      <c r="B25" s="1311"/>
      <c r="C25" s="1311"/>
      <c r="D25" s="457"/>
    </row>
    <row r="26" spans="1:4" ht="15.75" customHeight="1">
      <c r="A26" s="1312" t="s">
        <v>154</v>
      </c>
      <c r="B26" s="1312"/>
      <c r="C26" s="1312"/>
      <c r="D26" s="457"/>
    </row>
    <row r="27" spans="1:4" ht="15.75" customHeight="1">
      <c r="A27" s="1311" t="s">
        <v>263</v>
      </c>
      <c r="B27" s="1311"/>
      <c r="C27" s="1311"/>
      <c r="D27" s="457"/>
    </row>
    <row r="28" spans="1:4" ht="15.75" customHeight="1">
      <c r="A28" s="1311" t="s">
        <v>264</v>
      </c>
      <c r="B28" s="1311"/>
      <c r="C28" s="1311"/>
      <c r="D28" s="457"/>
    </row>
    <row r="29" spans="1:4" ht="15.75" customHeight="1">
      <c r="A29" s="1311" t="s">
        <v>265</v>
      </c>
      <c r="B29" s="1311"/>
      <c r="C29" s="1311"/>
      <c r="D29" s="457"/>
    </row>
    <row r="30" spans="1:4" ht="15.75" customHeight="1">
      <c r="A30" s="1311" t="s">
        <v>266</v>
      </c>
      <c r="B30" s="1311"/>
      <c r="C30" s="1311"/>
      <c r="D30" s="457"/>
    </row>
    <row r="31" spans="1:4" ht="15.75" customHeight="1">
      <c r="A31" s="1311"/>
      <c r="B31" s="1311"/>
      <c r="C31" s="1311"/>
      <c r="D31" s="457"/>
    </row>
    <row r="32" spans="1:4" ht="15.75" customHeight="1">
      <c r="A32" s="1311"/>
      <c r="B32" s="1311"/>
      <c r="C32" s="1311"/>
      <c r="D32" s="457"/>
    </row>
    <row r="33" spans="1:4" ht="15.75" customHeight="1">
      <c r="A33" s="1312" t="s">
        <v>155</v>
      </c>
      <c r="B33" s="1312"/>
      <c r="C33" s="1312"/>
      <c r="D33" s="457"/>
    </row>
    <row r="34" spans="1:4" ht="15.75" customHeight="1">
      <c r="A34" s="1311" t="s">
        <v>267</v>
      </c>
      <c r="B34" s="1311"/>
      <c r="C34" s="1311"/>
      <c r="D34" s="457"/>
    </row>
    <row r="35" spans="1:4" ht="15.75" customHeight="1">
      <c r="A35" s="1311" t="s">
        <v>268</v>
      </c>
      <c r="B35" s="1311"/>
      <c r="C35" s="1311"/>
      <c r="D35" s="457"/>
    </row>
    <row r="36" spans="1:4" ht="15.75" customHeight="1">
      <c r="A36" s="1311" t="s">
        <v>269</v>
      </c>
      <c r="B36" s="1311"/>
      <c r="C36" s="1311"/>
      <c r="D36" s="457"/>
    </row>
    <row r="37" spans="1:4" ht="15.75" customHeight="1">
      <c r="A37" s="1311" t="s">
        <v>270</v>
      </c>
      <c r="B37" s="1311"/>
      <c r="C37" s="1311"/>
      <c r="D37" s="457"/>
    </row>
    <row r="38" spans="1:4" ht="15.75" customHeight="1">
      <c r="A38" s="1311" t="s">
        <v>271</v>
      </c>
      <c r="B38" s="1311"/>
      <c r="C38" s="1311"/>
      <c r="D38" s="457"/>
    </row>
    <row r="39" spans="1:4" ht="15.75" customHeight="1">
      <c r="A39" s="1311" t="s">
        <v>272</v>
      </c>
      <c r="B39" s="1311"/>
      <c r="C39" s="1311"/>
      <c r="D39" s="457"/>
    </row>
    <row r="40" spans="1:4" ht="15.75" customHeight="1">
      <c r="A40" s="1313" t="s">
        <v>273</v>
      </c>
      <c r="B40" s="1313"/>
      <c r="C40" s="1313"/>
      <c r="D40" s="458"/>
    </row>
  </sheetData>
  <mergeCells count="38">
    <mergeCell ref="A39:C39"/>
    <mergeCell ref="A40:C40"/>
    <mergeCell ref="A33:C33"/>
    <mergeCell ref="A34:C34"/>
    <mergeCell ref="A35:C35"/>
    <mergeCell ref="A36:C36"/>
    <mergeCell ref="A37:C37"/>
    <mergeCell ref="A38:C38"/>
    <mergeCell ref="A32:C32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20:C20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8:C8"/>
    <mergeCell ref="B2:B3"/>
    <mergeCell ref="C2:C3"/>
    <mergeCell ref="D2:D3"/>
    <mergeCell ref="A6:C6"/>
    <mergeCell ref="A7:C7"/>
  </mergeCells>
  <phoneticPr fontId="3" type="noConversion"/>
  <pageMargins left="0.15748031496062992" right="0.19685039370078741" top="0.3543307086614173" bottom="0.31496062992125984" header="0.27559055118110237" footer="0.19685039370078741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42">
    <tabColor rgb="FF00B050"/>
  </sheetPr>
  <dimension ref="A1:D62"/>
  <sheetViews>
    <sheetView workbookViewId="0">
      <selection activeCell="A20" sqref="A20:C20"/>
    </sheetView>
  </sheetViews>
  <sheetFormatPr defaultRowHeight="15.75" customHeight="1"/>
  <cols>
    <col min="1" max="1" width="71.5" style="223" customWidth="1"/>
    <col min="2" max="4" width="15.625" style="223" customWidth="1"/>
    <col min="5" max="16384" width="9" style="223"/>
  </cols>
  <sheetData>
    <row r="1" spans="1:4" ht="15.75" customHeight="1">
      <c r="A1" s="371" t="str">
        <f>기본사항!$C$2</f>
        <v>(재)한국여성재단</v>
      </c>
      <c r="B1" s="373" t="s">
        <v>240</v>
      </c>
      <c r="C1" s="374" t="s">
        <v>241</v>
      </c>
      <c r="D1" s="374" t="s">
        <v>242</v>
      </c>
    </row>
    <row r="2" spans="1:4" ht="15.75" customHeight="1">
      <c r="A2" s="371" t="str">
        <f>TableofContents!$D$35</f>
        <v>우발채무 및 약정사항</v>
      </c>
      <c r="B2" s="1274" t="str">
        <f>TableofContents!$B$35</f>
        <v>CL</v>
      </c>
      <c r="C2" s="1198">
        <f>기본사항!$C$14</f>
        <v>40563</v>
      </c>
      <c r="D2" s="1276" t="str">
        <f>기본사항!$C$17</f>
        <v>Kbj</v>
      </c>
    </row>
    <row r="3" spans="1:4" ht="15.75" customHeight="1">
      <c r="A3" s="375" t="str">
        <f>기본사항!$C$9</f>
        <v>A : 12-31-2011</v>
      </c>
      <c r="B3" s="1257"/>
      <c r="C3" s="1198"/>
      <c r="D3" s="1264"/>
    </row>
    <row r="4" spans="1:4" ht="15.75" customHeight="1">
      <c r="A4" s="236"/>
    </row>
    <row r="6" spans="1:4" ht="15.75" customHeight="1">
      <c r="A6" s="1309" t="s">
        <v>144</v>
      </c>
      <c r="B6" s="1309"/>
      <c r="C6" s="1309"/>
      <c r="D6" s="379" t="s">
        <v>145</v>
      </c>
    </row>
    <row r="7" spans="1:4" s="381" customFormat="1" ht="15.75" customHeight="1">
      <c r="A7" s="1317" t="s">
        <v>156</v>
      </c>
      <c r="B7" s="1318"/>
      <c r="C7" s="1319"/>
      <c r="D7" s="380"/>
    </row>
    <row r="8" spans="1:4" s="383" customFormat="1" ht="15.75" customHeight="1">
      <c r="A8" s="1314" t="s">
        <v>157</v>
      </c>
      <c r="B8" s="1315"/>
      <c r="C8" s="1316"/>
      <c r="D8" s="382"/>
    </row>
    <row r="9" spans="1:4" s="383" customFormat="1" ht="15.75" customHeight="1">
      <c r="A9" s="1314" t="s">
        <v>158</v>
      </c>
      <c r="B9" s="1315"/>
      <c r="C9" s="1316"/>
      <c r="D9" s="382"/>
    </row>
    <row r="10" spans="1:4" s="383" customFormat="1" ht="15.75" customHeight="1">
      <c r="A10" s="1314" t="s">
        <v>236</v>
      </c>
      <c r="B10" s="1315"/>
      <c r="C10" s="1316"/>
      <c r="D10" s="382"/>
    </row>
    <row r="11" spans="1:4" s="383" customFormat="1" ht="15.75" customHeight="1">
      <c r="A11" s="1314" t="s">
        <v>159</v>
      </c>
      <c r="B11" s="1315"/>
      <c r="C11" s="1316"/>
      <c r="D11" s="382"/>
    </row>
    <row r="12" spans="1:4" s="383" customFormat="1" ht="15.75" customHeight="1">
      <c r="A12" s="1314" t="s">
        <v>160</v>
      </c>
      <c r="B12" s="1315"/>
      <c r="C12" s="1316"/>
      <c r="D12" s="382"/>
    </row>
    <row r="13" spans="1:4" s="383" customFormat="1" ht="15.75" customHeight="1">
      <c r="A13" s="1314" t="s">
        <v>161</v>
      </c>
      <c r="B13" s="1315"/>
      <c r="C13" s="1316"/>
      <c r="D13" s="382"/>
    </row>
    <row r="14" spans="1:4" s="383" customFormat="1" ht="15.75" customHeight="1">
      <c r="A14" s="1314" t="s">
        <v>162</v>
      </c>
      <c r="B14" s="1315"/>
      <c r="C14" s="1316"/>
      <c r="D14" s="382"/>
    </row>
    <row r="15" spans="1:4" s="383" customFormat="1" ht="15.75" customHeight="1">
      <c r="A15" s="1314" t="s">
        <v>163</v>
      </c>
      <c r="B15" s="1315"/>
      <c r="C15" s="1316"/>
      <c r="D15" s="382"/>
    </row>
    <row r="16" spans="1:4" s="383" customFormat="1" ht="15.75" customHeight="1">
      <c r="A16" s="1314" t="s">
        <v>164</v>
      </c>
      <c r="B16" s="1315"/>
      <c r="C16" s="1316"/>
      <c r="D16" s="382"/>
    </row>
    <row r="17" spans="1:4" s="381" customFormat="1" ht="15.75" customHeight="1">
      <c r="A17" s="1320" t="s">
        <v>165</v>
      </c>
      <c r="B17" s="1321"/>
      <c r="C17" s="1322"/>
      <c r="D17" s="380"/>
    </row>
    <row r="18" spans="1:4" s="383" customFormat="1" ht="15.75" customHeight="1">
      <c r="A18" s="1314" t="s">
        <v>274</v>
      </c>
      <c r="B18" s="1315"/>
      <c r="C18" s="1316"/>
      <c r="D18" s="382"/>
    </row>
    <row r="19" spans="1:4" s="383" customFormat="1" ht="15.75" customHeight="1">
      <c r="A19" s="384" t="s">
        <v>275</v>
      </c>
      <c r="B19" s="385"/>
      <c r="C19" s="386"/>
      <c r="D19" s="382"/>
    </row>
    <row r="20" spans="1:4" s="383" customFormat="1" ht="15.75" customHeight="1">
      <c r="A20" s="1314" t="s">
        <v>166</v>
      </c>
      <c r="B20" s="1315"/>
      <c r="C20" s="1316"/>
      <c r="D20" s="382"/>
    </row>
    <row r="21" spans="1:4" s="381" customFormat="1" ht="15.75" customHeight="1">
      <c r="A21" s="1320" t="s">
        <v>167</v>
      </c>
      <c r="B21" s="1321"/>
      <c r="C21" s="1322"/>
      <c r="D21" s="380"/>
    </row>
    <row r="22" spans="1:4" s="383" customFormat="1" ht="15.75" customHeight="1">
      <c r="A22" s="1314" t="s">
        <v>276</v>
      </c>
      <c r="B22" s="1315"/>
      <c r="C22" s="1316"/>
      <c r="D22" s="382"/>
    </row>
    <row r="23" spans="1:4" s="383" customFormat="1" ht="15.75" customHeight="1">
      <c r="A23" s="387" t="s">
        <v>277</v>
      </c>
      <c r="B23" s="385"/>
      <c r="C23" s="386"/>
      <c r="D23" s="382"/>
    </row>
    <row r="24" spans="1:4" s="383" customFormat="1" ht="15.75" customHeight="1">
      <c r="A24" s="1314" t="s">
        <v>168</v>
      </c>
      <c r="B24" s="1315"/>
      <c r="C24" s="1316"/>
      <c r="D24" s="382"/>
    </row>
    <row r="25" spans="1:4" s="381" customFormat="1" ht="15.75" customHeight="1">
      <c r="A25" s="1320" t="s">
        <v>169</v>
      </c>
      <c r="B25" s="1321"/>
      <c r="C25" s="1322"/>
      <c r="D25" s="380"/>
    </row>
    <row r="26" spans="1:4" s="383" customFormat="1" ht="15.75" customHeight="1">
      <c r="A26" s="1314" t="s">
        <v>278</v>
      </c>
      <c r="B26" s="1315"/>
      <c r="C26" s="1316"/>
      <c r="D26" s="382"/>
    </row>
    <row r="27" spans="1:4" s="383" customFormat="1" ht="15.75" customHeight="1">
      <c r="A27" s="387" t="s">
        <v>279</v>
      </c>
      <c r="B27" s="385"/>
      <c r="C27" s="386"/>
      <c r="D27" s="382"/>
    </row>
    <row r="28" spans="1:4" s="383" customFormat="1" ht="15.75" customHeight="1">
      <c r="A28" s="1314" t="s">
        <v>170</v>
      </c>
      <c r="B28" s="1315"/>
      <c r="C28" s="1316"/>
      <c r="D28" s="382"/>
    </row>
    <row r="29" spans="1:4" s="383" customFormat="1" ht="15.75" customHeight="1">
      <c r="A29" s="1314" t="s">
        <v>171</v>
      </c>
      <c r="B29" s="1315"/>
      <c r="C29" s="1316"/>
      <c r="D29" s="382"/>
    </row>
    <row r="30" spans="1:4" s="383" customFormat="1" ht="15.75" customHeight="1">
      <c r="A30" s="1314" t="s">
        <v>172</v>
      </c>
      <c r="B30" s="1315"/>
      <c r="C30" s="1316"/>
      <c r="D30" s="382"/>
    </row>
    <row r="31" spans="1:4" s="383" customFormat="1" ht="15.75" customHeight="1">
      <c r="A31" s="1314" t="s">
        <v>173</v>
      </c>
      <c r="B31" s="1315"/>
      <c r="C31" s="1316"/>
      <c r="D31" s="382"/>
    </row>
    <row r="32" spans="1:4" s="383" customFormat="1" ht="15.75" customHeight="1">
      <c r="A32" s="1314" t="s">
        <v>174</v>
      </c>
      <c r="B32" s="1315"/>
      <c r="C32" s="1316"/>
      <c r="D32" s="382"/>
    </row>
    <row r="33" spans="1:4" s="383" customFormat="1" ht="15.75" customHeight="1">
      <c r="A33" s="1314" t="s">
        <v>175</v>
      </c>
      <c r="B33" s="1315"/>
      <c r="C33" s="1316"/>
      <c r="D33" s="382"/>
    </row>
    <row r="34" spans="1:4" s="383" customFormat="1" ht="15.75" customHeight="1">
      <c r="A34" s="1314" t="s">
        <v>176</v>
      </c>
      <c r="B34" s="1315"/>
      <c r="C34" s="1316"/>
      <c r="D34" s="382"/>
    </row>
    <row r="35" spans="1:4" s="381" customFormat="1" ht="15.75" customHeight="1">
      <c r="A35" s="1320" t="s">
        <v>177</v>
      </c>
      <c r="B35" s="1321"/>
      <c r="C35" s="1322"/>
      <c r="D35" s="380"/>
    </row>
    <row r="36" spans="1:4" s="383" customFormat="1" ht="15.75" customHeight="1">
      <c r="A36" s="1314" t="s">
        <v>178</v>
      </c>
      <c r="B36" s="1315"/>
      <c r="C36" s="1316"/>
      <c r="D36" s="382"/>
    </row>
    <row r="37" spans="1:4" s="383" customFormat="1" ht="15.75" customHeight="1">
      <c r="A37" s="1314" t="s">
        <v>179</v>
      </c>
      <c r="B37" s="1315"/>
      <c r="C37" s="1316"/>
      <c r="D37" s="382"/>
    </row>
    <row r="38" spans="1:4" s="383" customFormat="1" ht="15.75" customHeight="1">
      <c r="A38" s="1314" t="s">
        <v>280</v>
      </c>
      <c r="B38" s="1315"/>
      <c r="C38" s="1316"/>
      <c r="D38" s="382"/>
    </row>
    <row r="39" spans="1:4" s="383" customFormat="1" ht="15.75" customHeight="1">
      <c r="A39" s="387" t="s">
        <v>281</v>
      </c>
      <c r="B39" s="385"/>
      <c r="C39" s="386"/>
      <c r="D39" s="382"/>
    </row>
    <row r="40" spans="1:4" s="383" customFormat="1" ht="15.75" customHeight="1">
      <c r="A40" s="1314" t="s">
        <v>282</v>
      </c>
      <c r="B40" s="1315"/>
      <c r="C40" s="1316"/>
      <c r="D40" s="382"/>
    </row>
    <row r="41" spans="1:4" s="383" customFormat="1" ht="15.75" customHeight="1">
      <c r="A41" s="387" t="s">
        <v>283</v>
      </c>
      <c r="B41" s="385"/>
      <c r="C41" s="386"/>
      <c r="D41" s="382"/>
    </row>
    <row r="42" spans="1:4" s="381" customFormat="1" ht="15.75" customHeight="1">
      <c r="A42" s="1320" t="s">
        <v>237</v>
      </c>
      <c r="B42" s="1321"/>
      <c r="C42" s="1322"/>
      <c r="D42" s="380"/>
    </row>
    <row r="43" spans="1:4" s="383" customFormat="1" ht="15.75" customHeight="1">
      <c r="A43" s="1314" t="s">
        <v>284</v>
      </c>
      <c r="B43" s="1315"/>
      <c r="C43" s="1316"/>
      <c r="D43" s="382"/>
    </row>
    <row r="44" spans="1:4" s="383" customFormat="1" ht="15.75" customHeight="1">
      <c r="A44" s="387" t="s">
        <v>285</v>
      </c>
      <c r="B44" s="385"/>
      <c r="C44" s="386"/>
      <c r="D44" s="382"/>
    </row>
    <row r="45" spans="1:4" s="383" customFormat="1" ht="15.75" customHeight="1">
      <c r="A45" s="1314" t="s">
        <v>180</v>
      </c>
      <c r="B45" s="1315"/>
      <c r="C45" s="1316"/>
      <c r="D45" s="382"/>
    </row>
    <row r="46" spans="1:4" s="381" customFormat="1" ht="15.75" customHeight="1">
      <c r="A46" s="1320" t="s">
        <v>181</v>
      </c>
      <c r="B46" s="1321"/>
      <c r="C46" s="1322"/>
      <c r="D46" s="380"/>
    </row>
    <row r="47" spans="1:4" s="383" customFormat="1" ht="15.75" customHeight="1">
      <c r="A47" s="1314" t="s">
        <v>286</v>
      </c>
      <c r="B47" s="1315"/>
      <c r="C47" s="1316"/>
      <c r="D47" s="382"/>
    </row>
    <row r="48" spans="1:4" s="383" customFormat="1" ht="15.75" customHeight="1">
      <c r="A48" s="1314" t="s">
        <v>182</v>
      </c>
      <c r="B48" s="1315"/>
      <c r="C48" s="1316"/>
      <c r="D48" s="382"/>
    </row>
    <row r="49" spans="1:4" s="383" customFormat="1" ht="15.75" customHeight="1">
      <c r="A49" s="1314" t="s">
        <v>183</v>
      </c>
      <c r="B49" s="1315"/>
      <c r="C49" s="1316"/>
      <c r="D49" s="382"/>
    </row>
    <row r="50" spans="1:4" s="383" customFormat="1" ht="15.75" customHeight="1">
      <c r="A50" s="1314" t="s">
        <v>287</v>
      </c>
      <c r="B50" s="1315"/>
      <c r="C50" s="1316"/>
      <c r="D50" s="382"/>
    </row>
    <row r="51" spans="1:4" s="383" customFormat="1" ht="15.75" customHeight="1">
      <c r="A51" s="387" t="s">
        <v>288</v>
      </c>
      <c r="B51" s="385"/>
      <c r="C51" s="386"/>
      <c r="D51" s="382"/>
    </row>
    <row r="52" spans="1:4" s="381" customFormat="1" ht="15.75" customHeight="1">
      <c r="A52" s="1320" t="s">
        <v>184</v>
      </c>
      <c r="B52" s="1321"/>
      <c r="C52" s="1322"/>
      <c r="D52" s="380"/>
    </row>
    <row r="53" spans="1:4" s="383" customFormat="1" ht="15.75" customHeight="1">
      <c r="A53" s="1314" t="s">
        <v>289</v>
      </c>
      <c r="B53" s="1315"/>
      <c r="C53" s="1316"/>
      <c r="D53" s="382"/>
    </row>
    <row r="54" spans="1:4" s="383" customFormat="1" ht="15.75" customHeight="1">
      <c r="A54" s="387" t="s">
        <v>290</v>
      </c>
      <c r="B54" s="385"/>
      <c r="C54" s="386"/>
      <c r="D54" s="382"/>
    </row>
    <row r="55" spans="1:4" s="381" customFormat="1" ht="15.75" customHeight="1">
      <c r="A55" s="1320" t="s">
        <v>185</v>
      </c>
      <c r="B55" s="1321"/>
      <c r="C55" s="1322"/>
      <c r="D55" s="380"/>
    </row>
    <row r="56" spans="1:4" s="383" customFormat="1" ht="15.75" customHeight="1">
      <c r="A56" s="1314" t="s">
        <v>186</v>
      </c>
      <c r="B56" s="1315"/>
      <c r="C56" s="1316"/>
      <c r="D56" s="382"/>
    </row>
    <row r="57" spans="1:4" s="383" customFormat="1" ht="15.75" customHeight="1">
      <c r="A57" s="1314" t="s">
        <v>187</v>
      </c>
      <c r="B57" s="1315"/>
      <c r="C57" s="1316"/>
      <c r="D57" s="382"/>
    </row>
    <row r="58" spans="1:4" s="383" customFormat="1" ht="15.75" customHeight="1">
      <c r="A58" s="1314" t="s">
        <v>188</v>
      </c>
      <c r="B58" s="1315"/>
      <c r="C58" s="1316"/>
      <c r="D58" s="382"/>
    </row>
    <row r="59" spans="1:4" s="383" customFormat="1" ht="15.75" customHeight="1">
      <c r="A59" s="1314" t="s">
        <v>189</v>
      </c>
      <c r="B59" s="1315"/>
      <c r="C59" s="1316"/>
      <c r="D59" s="382"/>
    </row>
    <row r="60" spans="1:4" s="383" customFormat="1" ht="15.75" customHeight="1">
      <c r="A60" s="1314" t="s">
        <v>190</v>
      </c>
      <c r="B60" s="1315"/>
      <c r="C60" s="1316"/>
      <c r="D60" s="382"/>
    </row>
    <row r="61" spans="1:4" s="383" customFormat="1" ht="15.75" customHeight="1">
      <c r="A61" s="1314" t="s">
        <v>191</v>
      </c>
      <c r="B61" s="1315"/>
      <c r="C61" s="1316"/>
      <c r="D61" s="382"/>
    </row>
    <row r="62" spans="1:4" s="383" customFormat="1" ht="15.75" customHeight="1">
      <c r="A62" s="1323" t="s">
        <v>192</v>
      </c>
      <c r="B62" s="1324"/>
      <c r="C62" s="1325"/>
      <c r="D62" s="388"/>
    </row>
  </sheetData>
  <mergeCells count="52">
    <mergeCell ref="A59:C59"/>
    <mergeCell ref="A60:C60"/>
    <mergeCell ref="A61:C61"/>
    <mergeCell ref="A62:C62"/>
    <mergeCell ref="A52:C52"/>
    <mergeCell ref="A53:C53"/>
    <mergeCell ref="A55:C55"/>
    <mergeCell ref="A56:C56"/>
    <mergeCell ref="A57:C57"/>
    <mergeCell ref="A58:C58"/>
    <mergeCell ref="A50:C50"/>
    <mergeCell ref="A36:C36"/>
    <mergeCell ref="A37:C37"/>
    <mergeCell ref="A38:C38"/>
    <mergeCell ref="A40:C40"/>
    <mergeCell ref="A42:C42"/>
    <mergeCell ref="A43:C43"/>
    <mergeCell ref="A45:C45"/>
    <mergeCell ref="A46:C46"/>
    <mergeCell ref="A47:C47"/>
    <mergeCell ref="A48:C48"/>
    <mergeCell ref="A49:C49"/>
    <mergeCell ref="A35:C35"/>
    <mergeCell ref="A22:C22"/>
    <mergeCell ref="A24:C24"/>
    <mergeCell ref="A25:C25"/>
    <mergeCell ref="A26:C26"/>
    <mergeCell ref="A28:C28"/>
    <mergeCell ref="A29:C29"/>
    <mergeCell ref="A30:C30"/>
    <mergeCell ref="A31:C31"/>
    <mergeCell ref="A32:C32"/>
    <mergeCell ref="A33:C33"/>
    <mergeCell ref="A34:C34"/>
    <mergeCell ref="A21:C21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20:C20"/>
    <mergeCell ref="A8:C8"/>
    <mergeCell ref="B2:B3"/>
    <mergeCell ref="C2:C3"/>
    <mergeCell ref="D2:D3"/>
    <mergeCell ref="A6:C6"/>
    <mergeCell ref="A7:C7"/>
  </mergeCells>
  <phoneticPr fontId="3" type="noConversion"/>
  <pageMargins left="0.15748031496062992" right="0.19685039370078741" top="0.3543307086614173" bottom="0.31496062992125984" header="0.27559055118110237" footer="0.19685039370078741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43">
    <tabColor rgb="FF00B050"/>
  </sheetPr>
  <dimension ref="A1:D53"/>
  <sheetViews>
    <sheetView workbookViewId="0">
      <selection activeCell="F6" sqref="F6"/>
    </sheetView>
  </sheetViews>
  <sheetFormatPr defaultRowHeight="15.75" customHeight="1"/>
  <cols>
    <col min="1" max="1" width="71.5" style="223" customWidth="1"/>
    <col min="2" max="4" width="15.625" style="223" customWidth="1"/>
    <col min="5" max="16384" width="9" style="223"/>
  </cols>
  <sheetData>
    <row r="1" spans="1:4" ht="15.75" customHeight="1">
      <c r="A1" s="371" t="str">
        <f>기본사항!$C$2</f>
        <v>(재)한국여성재단</v>
      </c>
      <c r="B1" s="373" t="s">
        <v>240</v>
      </c>
      <c r="C1" s="374" t="s">
        <v>241</v>
      </c>
      <c r="D1" s="374" t="s">
        <v>242</v>
      </c>
    </row>
    <row r="2" spans="1:4" ht="15.75" customHeight="1">
      <c r="A2" s="371" t="str">
        <f>TableofContents!$D$36</f>
        <v>파생상품</v>
      </c>
      <c r="B2" s="1274" t="str">
        <f>TableofContents!$B$36</f>
        <v>DER</v>
      </c>
      <c r="C2" s="1198">
        <f>기본사항!$C$14</f>
        <v>40563</v>
      </c>
      <c r="D2" s="1276" t="str">
        <f>기본사항!$C$17</f>
        <v>Kbj</v>
      </c>
    </row>
    <row r="3" spans="1:4" ht="15.75" customHeight="1">
      <c r="A3" s="375" t="str">
        <f>기본사항!$C$9</f>
        <v>A : 12-31-2011</v>
      </c>
      <c r="B3" s="1257"/>
      <c r="C3" s="1198"/>
      <c r="D3" s="1264"/>
    </row>
    <row r="4" spans="1:4" ht="15.75" customHeight="1">
      <c r="A4" s="236"/>
    </row>
    <row r="5" spans="1:4" ht="15.75" customHeight="1">
      <c r="A5" s="1326" t="s">
        <v>144</v>
      </c>
      <c r="B5" s="1327"/>
      <c r="C5" s="1328"/>
      <c r="D5" s="379" t="s">
        <v>145</v>
      </c>
    </row>
    <row r="6" spans="1:4" s="383" customFormat="1" ht="15.75" customHeight="1">
      <c r="A6" s="1314" t="s">
        <v>193</v>
      </c>
      <c r="B6" s="1315"/>
      <c r="C6" s="1316"/>
      <c r="D6" s="382"/>
    </row>
    <row r="7" spans="1:4" s="383" customFormat="1" ht="15.75" customHeight="1">
      <c r="A7" s="1314" t="s">
        <v>291</v>
      </c>
      <c r="B7" s="1315"/>
      <c r="C7" s="1316"/>
      <c r="D7" s="382"/>
    </row>
    <row r="8" spans="1:4" s="383" customFormat="1" ht="15.75" customHeight="1">
      <c r="A8" s="1329" t="s">
        <v>292</v>
      </c>
      <c r="B8" s="1315"/>
      <c r="C8" s="1316"/>
      <c r="D8" s="382"/>
    </row>
    <row r="9" spans="1:4" s="383" customFormat="1" ht="15.75" customHeight="1">
      <c r="A9" s="1314" t="s">
        <v>293</v>
      </c>
      <c r="B9" s="1315"/>
      <c r="C9" s="1316"/>
      <c r="D9" s="382"/>
    </row>
    <row r="10" spans="1:4" s="383" customFormat="1" ht="15.75" customHeight="1">
      <c r="A10" s="1329" t="s">
        <v>294</v>
      </c>
      <c r="B10" s="1315"/>
      <c r="C10" s="1316"/>
      <c r="D10" s="382"/>
    </row>
    <row r="11" spans="1:4" s="383" customFormat="1" ht="15.75" customHeight="1">
      <c r="A11" s="1314" t="s">
        <v>194</v>
      </c>
      <c r="B11" s="1315"/>
      <c r="C11" s="1316"/>
      <c r="D11" s="382"/>
    </row>
    <row r="12" spans="1:4" s="383" customFormat="1" ht="15.75" customHeight="1">
      <c r="A12" s="1314" t="s">
        <v>195</v>
      </c>
      <c r="B12" s="1315"/>
      <c r="C12" s="1316"/>
      <c r="D12" s="382"/>
    </row>
    <row r="13" spans="1:4" s="383" customFormat="1" ht="15.75" customHeight="1">
      <c r="A13" s="1314" t="s">
        <v>295</v>
      </c>
      <c r="B13" s="1315"/>
      <c r="C13" s="1316"/>
      <c r="D13" s="382"/>
    </row>
    <row r="14" spans="1:4" s="383" customFormat="1" ht="15.75" customHeight="1">
      <c r="A14" s="1329" t="s">
        <v>296</v>
      </c>
      <c r="B14" s="1315"/>
      <c r="C14" s="1316"/>
      <c r="D14" s="382"/>
    </row>
    <row r="15" spans="1:4" s="383" customFormat="1" ht="15.75" customHeight="1">
      <c r="A15" s="1314" t="s">
        <v>297</v>
      </c>
      <c r="B15" s="1315"/>
      <c r="C15" s="1316"/>
      <c r="D15" s="382"/>
    </row>
    <row r="16" spans="1:4" s="383" customFormat="1" ht="15.75" customHeight="1">
      <c r="A16" s="1329" t="s">
        <v>298</v>
      </c>
      <c r="B16" s="1315"/>
      <c r="C16" s="1316"/>
      <c r="D16" s="382"/>
    </row>
    <row r="17" spans="1:4" s="383" customFormat="1" ht="15.75" customHeight="1">
      <c r="A17" s="1329" t="s">
        <v>299</v>
      </c>
      <c r="B17" s="1315"/>
      <c r="C17" s="1316"/>
      <c r="D17" s="382"/>
    </row>
    <row r="18" spans="1:4" s="383" customFormat="1" ht="15.75" customHeight="1">
      <c r="A18" s="1314" t="s">
        <v>196</v>
      </c>
      <c r="B18" s="1315"/>
      <c r="C18" s="1316"/>
      <c r="D18" s="382"/>
    </row>
    <row r="19" spans="1:4" s="383" customFormat="1" ht="15.75" customHeight="1">
      <c r="A19" s="1314" t="s">
        <v>300</v>
      </c>
      <c r="B19" s="1315"/>
      <c r="C19" s="1316"/>
      <c r="D19" s="382"/>
    </row>
    <row r="20" spans="1:4" s="383" customFormat="1" ht="15.75" customHeight="1">
      <c r="A20" s="1329" t="s">
        <v>301</v>
      </c>
      <c r="B20" s="1315"/>
      <c r="C20" s="1316"/>
      <c r="D20" s="382"/>
    </row>
    <row r="21" spans="1:4" s="383" customFormat="1" ht="15.75" customHeight="1">
      <c r="A21" s="1314" t="s">
        <v>302</v>
      </c>
      <c r="B21" s="1315"/>
      <c r="C21" s="1316"/>
      <c r="D21" s="382"/>
    </row>
    <row r="22" spans="1:4" s="383" customFormat="1" ht="15.75" customHeight="1">
      <c r="A22" s="1329" t="s">
        <v>303</v>
      </c>
      <c r="B22" s="1315"/>
      <c r="C22" s="1316"/>
      <c r="D22" s="382"/>
    </row>
    <row r="23" spans="1:4" s="383" customFormat="1" ht="15.75" customHeight="1">
      <c r="A23" s="1329" t="s">
        <v>304</v>
      </c>
      <c r="B23" s="1315"/>
      <c r="C23" s="1316"/>
      <c r="D23" s="382"/>
    </row>
    <row r="24" spans="1:4" s="383" customFormat="1" ht="15.75" customHeight="1">
      <c r="A24" s="1314" t="s">
        <v>197</v>
      </c>
      <c r="B24" s="1315"/>
      <c r="C24" s="1316"/>
      <c r="D24" s="382"/>
    </row>
    <row r="25" spans="1:4" s="383" customFormat="1" ht="15.75" customHeight="1">
      <c r="A25" s="1314" t="s">
        <v>198</v>
      </c>
      <c r="B25" s="1315"/>
      <c r="C25" s="1316"/>
      <c r="D25" s="382"/>
    </row>
    <row r="26" spans="1:4" s="383" customFormat="1" ht="15.75" customHeight="1">
      <c r="A26" s="1314" t="s">
        <v>199</v>
      </c>
      <c r="B26" s="1315"/>
      <c r="C26" s="1316"/>
      <c r="D26" s="382"/>
    </row>
    <row r="27" spans="1:4" s="383" customFormat="1" ht="15.75" customHeight="1">
      <c r="A27" s="1314" t="s">
        <v>200</v>
      </c>
      <c r="B27" s="1315"/>
      <c r="C27" s="1316"/>
      <c r="D27" s="382"/>
    </row>
    <row r="28" spans="1:4" s="383" customFormat="1" ht="15.75" customHeight="1">
      <c r="A28" s="1314" t="s">
        <v>201</v>
      </c>
      <c r="B28" s="1315"/>
      <c r="C28" s="1316"/>
      <c r="D28" s="382"/>
    </row>
    <row r="29" spans="1:4" s="383" customFormat="1" ht="15.75" customHeight="1">
      <c r="A29" s="1314" t="s">
        <v>305</v>
      </c>
      <c r="B29" s="1315"/>
      <c r="C29" s="1316"/>
      <c r="D29" s="382"/>
    </row>
    <row r="30" spans="1:4" s="383" customFormat="1" ht="15.75" customHeight="1">
      <c r="A30" s="1329" t="s">
        <v>306</v>
      </c>
      <c r="B30" s="1315"/>
      <c r="C30" s="1316"/>
      <c r="D30" s="382"/>
    </row>
    <row r="31" spans="1:4" s="383" customFormat="1" ht="15.75" customHeight="1">
      <c r="A31" s="1314" t="s">
        <v>307</v>
      </c>
      <c r="B31" s="1315"/>
      <c r="C31" s="1316"/>
      <c r="D31" s="382"/>
    </row>
    <row r="32" spans="1:4" s="383" customFormat="1" ht="15.75" customHeight="1">
      <c r="A32" s="1329" t="s">
        <v>308</v>
      </c>
      <c r="B32" s="1315"/>
      <c r="C32" s="1316"/>
      <c r="D32" s="382"/>
    </row>
    <row r="33" spans="1:4" s="383" customFormat="1" ht="15.75" customHeight="1">
      <c r="A33" s="1314" t="s">
        <v>202</v>
      </c>
      <c r="B33" s="1315"/>
      <c r="C33" s="1316"/>
      <c r="D33" s="382"/>
    </row>
    <row r="34" spans="1:4" s="383" customFormat="1" ht="15.75" customHeight="1">
      <c r="A34" s="1314" t="s">
        <v>201</v>
      </c>
      <c r="B34" s="1315"/>
      <c r="C34" s="1316"/>
      <c r="D34" s="382"/>
    </row>
    <row r="35" spans="1:4" s="383" customFormat="1" ht="15.75" customHeight="1">
      <c r="A35" s="1314" t="s">
        <v>203</v>
      </c>
      <c r="B35" s="1315"/>
      <c r="C35" s="1316"/>
      <c r="D35" s="382"/>
    </row>
    <row r="36" spans="1:4" s="383" customFormat="1" ht="15.75" customHeight="1">
      <c r="A36" s="1314" t="s">
        <v>309</v>
      </c>
      <c r="B36" s="1315"/>
      <c r="C36" s="1316"/>
      <c r="D36" s="382"/>
    </row>
    <row r="37" spans="1:4" s="383" customFormat="1" ht="15.75" customHeight="1">
      <c r="A37" s="1329" t="s">
        <v>310</v>
      </c>
      <c r="B37" s="1315"/>
      <c r="C37" s="1316"/>
      <c r="D37" s="382"/>
    </row>
    <row r="38" spans="1:4" s="383" customFormat="1" ht="15.75" customHeight="1">
      <c r="A38" s="1314" t="s">
        <v>311</v>
      </c>
      <c r="B38" s="1315"/>
      <c r="C38" s="1316"/>
      <c r="D38" s="382"/>
    </row>
    <row r="39" spans="1:4" s="383" customFormat="1" ht="15.75" customHeight="1">
      <c r="A39" s="1329" t="s">
        <v>312</v>
      </c>
      <c r="B39" s="1315"/>
      <c r="C39" s="1316"/>
      <c r="D39" s="382"/>
    </row>
    <row r="40" spans="1:4" s="383" customFormat="1" ht="15.75" customHeight="1">
      <c r="A40" s="1329" t="s">
        <v>313</v>
      </c>
      <c r="B40" s="1315"/>
      <c r="C40" s="1316"/>
      <c r="D40" s="382"/>
    </row>
    <row r="41" spans="1:4" s="383" customFormat="1" ht="15.75" customHeight="1">
      <c r="A41" s="1314" t="s">
        <v>314</v>
      </c>
      <c r="B41" s="1315"/>
      <c r="C41" s="1316"/>
      <c r="D41" s="382"/>
    </row>
    <row r="42" spans="1:4" s="383" customFormat="1" ht="15.75" customHeight="1">
      <c r="A42" s="1329" t="s">
        <v>315</v>
      </c>
      <c r="B42" s="1315"/>
      <c r="C42" s="1316"/>
      <c r="D42" s="382"/>
    </row>
    <row r="43" spans="1:4" s="383" customFormat="1" ht="15.75" customHeight="1">
      <c r="A43" s="1314" t="s">
        <v>204</v>
      </c>
      <c r="B43" s="1315"/>
      <c r="C43" s="1316"/>
      <c r="D43" s="382"/>
    </row>
    <row r="44" spans="1:4" s="383" customFormat="1" ht="15.75" customHeight="1">
      <c r="A44" s="1314" t="s">
        <v>205</v>
      </c>
      <c r="B44" s="1315"/>
      <c r="C44" s="1316"/>
      <c r="D44" s="382"/>
    </row>
    <row r="45" spans="1:4" s="383" customFormat="1" ht="15.75" customHeight="1">
      <c r="A45" s="1314" t="s">
        <v>206</v>
      </c>
      <c r="B45" s="1315"/>
      <c r="C45" s="1316"/>
      <c r="D45" s="382"/>
    </row>
    <row r="46" spans="1:4" s="383" customFormat="1" ht="15.75" customHeight="1">
      <c r="A46" s="1314" t="s">
        <v>207</v>
      </c>
      <c r="B46" s="1315"/>
      <c r="C46" s="1316"/>
      <c r="D46" s="382"/>
    </row>
    <row r="47" spans="1:4" s="383" customFormat="1" ht="15.75" customHeight="1">
      <c r="A47" s="1314" t="s">
        <v>208</v>
      </c>
      <c r="B47" s="1315"/>
      <c r="C47" s="1316"/>
      <c r="D47" s="382"/>
    </row>
    <row r="48" spans="1:4" s="383" customFormat="1" ht="15.75" customHeight="1">
      <c r="A48" s="1314" t="s">
        <v>209</v>
      </c>
      <c r="B48" s="1315"/>
      <c r="C48" s="1316"/>
      <c r="D48" s="382"/>
    </row>
    <row r="49" spans="1:4" s="383" customFormat="1" ht="15.75" customHeight="1">
      <c r="A49" s="1314" t="s">
        <v>210</v>
      </c>
      <c r="B49" s="1315"/>
      <c r="C49" s="1316"/>
      <c r="D49" s="382"/>
    </row>
    <row r="50" spans="1:4" s="383" customFormat="1" ht="15.75" customHeight="1">
      <c r="A50" s="1314" t="s">
        <v>211</v>
      </c>
      <c r="B50" s="1315"/>
      <c r="C50" s="1316"/>
      <c r="D50" s="382"/>
    </row>
    <row r="51" spans="1:4" s="383" customFormat="1" ht="15.75" customHeight="1">
      <c r="A51" s="1314" t="s">
        <v>212</v>
      </c>
      <c r="B51" s="1315"/>
      <c r="C51" s="1316"/>
      <c r="D51" s="382"/>
    </row>
    <row r="52" spans="1:4" s="383" customFormat="1" ht="15.75" customHeight="1">
      <c r="A52" s="1314" t="s">
        <v>213</v>
      </c>
      <c r="B52" s="1315"/>
      <c r="C52" s="1316"/>
      <c r="D52" s="382"/>
    </row>
    <row r="53" spans="1:4" s="383" customFormat="1" ht="15.75" customHeight="1">
      <c r="A53" s="1313"/>
      <c r="B53" s="1313"/>
      <c r="C53" s="1313"/>
      <c r="D53" s="388"/>
    </row>
  </sheetData>
  <mergeCells count="52">
    <mergeCell ref="A50:C50"/>
    <mergeCell ref="A51:C51"/>
    <mergeCell ref="A52:C52"/>
    <mergeCell ref="A53:C53"/>
    <mergeCell ref="A44:C44"/>
    <mergeCell ref="A45:C45"/>
    <mergeCell ref="A46:C46"/>
    <mergeCell ref="A47:C47"/>
    <mergeCell ref="A48:C48"/>
    <mergeCell ref="A49:C49"/>
    <mergeCell ref="A43:C43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31:C31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7:C7"/>
    <mergeCell ref="B2:B3"/>
    <mergeCell ref="C2:C3"/>
    <mergeCell ref="D2:D3"/>
    <mergeCell ref="A5:C5"/>
    <mergeCell ref="A6:C6"/>
  </mergeCells>
  <phoneticPr fontId="3" type="noConversion"/>
  <pageMargins left="0.15748031496062992" right="0.19685039370078741" top="0.3543307086614173" bottom="0.31496062992125984" header="0.27559055118110237" footer="0.19685039370078741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FF0000"/>
  </sheetPr>
  <dimension ref="A1:P102"/>
  <sheetViews>
    <sheetView zoomScaleSheetLayoutView="85" workbookViewId="0">
      <selection activeCell="A2" sqref="A2"/>
    </sheetView>
  </sheetViews>
  <sheetFormatPr defaultRowHeight="15.75" customHeight="1"/>
  <cols>
    <col min="1" max="3" width="2.625" style="223" customWidth="1"/>
    <col min="4" max="4" width="19.125" style="223" customWidth="1"/>
    <col min="5" max="5" width="2.125" style="223" customWidth="1"/>
    <col min="6" max="6" width="16.125" style="223" customWidth="1"/>
    <col min="7" max="7" width="2.125" style="223" customWidth="1"/>
    <col min="8" max="8" width="16.125" style="223" customWidth="1"/>
    <col min="9" max="9" width="2.125" style="223" customWidth="1"/>
    <col min="10" max="10" width="16.125" style="223" customWidth="1"/>
    <col min="11" max="11" width="2.125" style="223" customWidth="1"/>
    <col min="12" max="12" width="16.125" style="223" customWidth="1"/>
    <col min="13" max="13" width="2.125" style="223" customWidth="1"/>
    <col min="14" max="14" width="16.125" style="223" customWidth="1"/>
    <col min="15" max="15" width="2.125" style="223" customWidth="1"/>
    <col min="16" max="16" width="16.125" style="223" customWidth="1"/>
    <col min="17" max="17" width="2.5" style="223" customWidth="1"/>
    <col min="18" max="18" width="14.25" style="223" customWidth="1"/>
    <col min="19" max="16384" width="9" style="223"/>
  </cols>
  <sheetData>
    <row r="1" spans="1:16" ht="15.75" customHeight="1">
      <c r="A1" s="448" t="str">
        <f>기본사항!$C$2</f>
        <v>(재)한국여성재단</v>
      </c>
      <c r="B1" s="449"/>
      <c r="C1" s="449"/>
      <c r="D1" s="449"/>
      <c r="E1" s="449"/>
      <c r="F1" s="449"/>
      <c r="G1" s="450"/>
      <c r="H1" s="467" t="s">
        <v>1320</v>
      </c>
      <c r="I1" s="467"/>
      <c r="J1" s="467" t="s">
        <v>636</v>
      </c>
      <c r="K1" s="467"/>
      <c r="L1" s="448" t="s">
        <v>0</v>
      </c>
      <c r="M1" s="486"/>
      <c r="N1" s="467" t="s">
        <v>636</v>
      </c>
      <c r="O1" s="467"/>
      <c r="P1" s="460" t="s">
        <v>1</v>
      </c>
    </row>
    <row r="2" spans="1:16" ht="15.75" customHeight="1">
      <c r="A2" s="448" t="str">
        <f>TableofContents!$D$31</f>
        <v>이연법인세,법인세비용</v>
      </c>
      <c r="B2" s="449"/>
      <c r="C2" s="449"/>
      <c r="D2" s="449"/>
      <c r="E2" s="449"/>
      <c r="F2" s="449"/>
      <c r="G2" s="450"/>
      <c r="H2" s="1255" t="str">
        <f>"DIR - "&amp;TableofContents!$B$31</f>
        <v>DIR - T</v>
      </c>
      <c r="I2" s="1256"/>
      <c r="J2" s="1265" t="s">
        <v>1315</v>
      </c>
      <c r="K2" s="1265"/>
      <c r="L2" s="487">
        <f>기본사항!$C$14</f>
        <v>40563</v>
      </c>
      <c r="M2" s="488"/>
      <c r="N2" s="1265" t="s">
        <v>1317</v>
      </c>
      <c r="O2" s="1265"/>
      <c r="P2" s="466" t="str">
        <f>기본사항!$C$17</f>
        <v>Kbj</v>
      </c>
    </row>
    <row r="3" spans="1:16" ht="15.75" customHeight="1">
      <c r="A3" s="448" t="str">
        <f>기본사항!$C$9</f>
        <v>A : 12-31-2011</v>
      </c>
      <c r="B3" s="449"/>
      <c r="C3" s="449"/>
      <c r="D3" s="449"/>
      <c r="E3" s="449"/>
      <c r="F3" s="449"/>
      <c r="G3" s="450"/>
      <c r="H3" s="1257"/>
      <c r="I3" s="1258"/>
      <c r="J3" s="1265" t="s">
        <v>1316</v>
      </c>
      <c r="K3" s="1265"/>
      <c r="L3" s="487">
        <f>기본사항!$C$15</f>
        <v>40564</v>
      </c>
      <c r="M3" s="488"/>
      <c r="N3" s="1265" t="s">
        <v>1318</v>
      </c>
      <c r="O3" s="1265"/>
      <c r="P3" s="491" t="str">
        <f>기본사항!$C$18</f>
        <v>pjKim</v>
      </c>
    </row>
    <row r="6" spans="1:16" ht="15.75" customHeight="1">
      <c r="A6" s="222" t="s">
        <v>1302</v>
      </c>
      <c r="B6" s="222"/>
      <c r="C6" s="222"/>
    </row>
    <row r="7" spans="1:16" s="225" customFormat="1" ht="15.75" customHeight="1">
      <c r="A7" s="224"/>
      <c r="B7" s="224"/>
      <c r="C7" s="224"/>
      <c r="D7" s="225" t="s">
        <v>1297</v>
      </c>
      <c r="F7" s="225" t="s">
        <v>1298</v>
      </c>
    </row>
    <row r="8" spans="1:16" s="225" customFormat="1" ht="15.75" customHeight="1">
      <c r="A8" s="224"/>
      <c r="B8" s="224"/>
      <c r="C8" s="224"/>
      <c r="D8" s="225" t="s">
        <v>1299</v>
      </c>
      <c r="F8" s="225" t="s">
        <v>1303</v>
      </c>
    </row>
    <row r="9" spans="1:16" s="225" customFormat="1" ht="15.75" customHeight="1">
      <c r="A9" s="224"/>
      <c r="B9" s="224"/>
      <c r="C9" s="224"/>
      <c r="D9" s="225" t="s">
        <v>1300</v>
      </c>
      <c r="F9" s="225" t="s">
        <v>1304</v>
      </c>
    </row>
    <row r="10" spans="1:16" s="225" customFormat="1" ht="15.75" customHeight="1">
      <c r="A10" s="224"/>
      <c r="B10" s="224"/>
      <c r="C10" s="224"/>
      <c r="D10" s="225" t="s">
        <v>1301</v>
      </c>
    </row>
    <row r="11" spans="1:16" s="225" customFormat="1" ht="15.75" customHeight="1">
      <c r="A11" s="224"/>
      <c r="B11" s="224"/>
      <c r="C11" s="224"/>
    </row>
    <row r="12" spans="1:16" s="225" customFormat="1" ht="15.75" customHeight="1">
      <c r="A12" s="224"/>
      <c r="B12" s="224"/>
      <c r="C12" s="224"/>
    </row>
    <row r="13" spans="1:16" s="225" customFormat="1" ht="15.75" customHeight="1">
      <c r="A13" s="222" t="s">
        <v>1726</v>
      </c>
      <c r="B13" s="224"/>
      <c r="C13" s="224"/>
    </row>
    <row r="14" spans="1:16" s="225" customFormat="1" ht="15.75" customHeight="1">
      <c r="A14" s="224"/>
      <c r="B14" s="468" t="s">
        <v>1323</v>
      </c>
      <c r="C14" s="469"/>
      <c r="D14" s="468"/>
      <c r="E14" s="468"/>
      <c r="F14" s="468"/>
      <c r="G14" s="468"/>
      <c r="H14" s="468"/>
      <c r="I14" s="468"/>
      <c r="J14" s="468"/>
      <c r="K14" s="468"/>
      <c r="L14" s="468"/>
      <c r="N14" s="470" t="s">
        <v>1324</v>
      </c>
      <c r="P14" s="470" t="s">
        <v>1325</v>
      </c>
    </row>
    <row r="15" spans="1:16" s="225" customFormat="1" ht="15.75" customHeight="1">
      <c r="A15" s="224"/>
      <c r="B15" s="473"/>
      <c r="C15" s="474"/>
      <c r="D15" s="473"/>
      <c r="E15" s="473"/>
      <c r="F15" s="473"/>
      <c r="G15" s="473"/>
      <c r="H15" s="473"/>
      <c r="I15" s="473"/>
      <c r="J15" s="473"/>
      <c r="K15" s="473"/>
      <c r="L15" s="473"/>
      <c r="N15" s="350"/>
      <c r="P15" s="350"/>
    </row>
    <row r="16" spans="1:16" s="225" customFormat="1" ht="15.75" customHeight="1">
      <c r="A16" s="224"/>
      <c r="B16" s="224" t="s">
        <v>1068</v>
      </c>
      <c r="C16" s="224" t="s">
        <v>2300</v>
      </c>
      <c r="N16" s="247" t="s">
        <v>2028</v>
      </c>
    </row>
    <row r="17" spans="1:14" s="225" customFormat="1" ht="15.75" customHeight="1">
      <c r="A17" s="224"/>
      <c r="B17" s="224"/>
      <c r="C17" s="224" t="s">
        <v>2301</v>
      </c>
      <c r="D17" s="224"/>
      <c r="N17" s="247"/>
    </row>
    <row r="18" spans="1:14" s="225" customFormat="1" ht="15.75" customHeight="1">
      <c r="A18" s="224"/>
      <c r="B18" s="224"/>
      <c r="C18" s="224" t="s">
        <v>2191</v>
      </c>
      <c r="D18" s="224"/>
      <c r="N18" s="247"/>
    </row>
    <row r="19" spans="1:14" s="225" customFormat="1" ht="15.75" customHeight="1">
      <c r="A19" s="224"/>
      <c r="B19" s="224"/>
      <c r="C19" s="224"/>
      <c r="D19" s="224"/>
      <c r="N19" s="247"/>
    </row>
    <row r="20" spans="1:14" s="225" customFormat="1" ht="15.75" customHeight="1">
      <c r="A20" s="224"/>
      <c r="B20" s="224" t="s">
        <v>2302</v>
      </c>
      <c r="C20" s="224" t="s">
        <v>2303</v>
      </c>
      <c r="N20" s="247" t="s">
        <v>2177</v>
      </c>
    </row>
    <row r="21" spans="1:14" s="225" customFormat="1" ht="15.75" customHeight="1">
      <c r="A21" s="224"/>
      <c r="B21" s="224"/>
      <c r="C21" s="224" t="s">
        <v>2304</v>
      </c>
      <c r="N21" s="247"/>
    </row>
    <row r="22" spans="1:14" s="225" customFormat="1" ht="15.75" customHeight="1">
      <c r="A22" s="224"/>
      <c r="B22" s="224"/>
      <c r="C22" s="224" t="s">
        <v>2305</v>
      </c>
      <c r="N22" s="247"/>
    </row>
    <row r="23" spans="1:14" s="225" customFormat="1" ht="15.75" customHeight="1">
      <c r="D23" s="471"/>
      <c r="E23" s="226"/>
      <c r="F23" s="226"/>
      <c r="G23" s="226"/>
      <c r="H23" s="226"/>
      <c r="I23" s="226"/>
      <c r="J23" s="226"/>
      <c r="K23" s="226"/>
      <c r="L23" s="226"/>
      <c r="M23" s="226"/>
      <c r="N23" s="493"/>
    </row>
    <row r="24" spans="1:14" s="225" customFormat="1" ht="15.75" customHeight="1">
      <c r="B24" s="224" t="s">
        <v>2044</v>
      </c>
      <c r="C24" s="224" t="s">
        <v>2306</v>
      </c>
      <c r="D24" s="471"/>
      <c r="E24" s="226"/>
      <c r="F24" s="226"/>
      <c r="G24" s="226"/>
      <c r="H24" s="226"/>
      <c r="I24" s="226"/>
      <c r="J24" s="226"/>
      <c r="K24" s="226"/>
      <c r="L24" s="226"/>
      <c r="M24" s="226"/>
      <c r="N24" s="493" t="s">
        <v>2032</v>
      </c>
    </row>
    <row r="25" spans="1:14" s="225" customFormat="1" ht="15.75" customHeight="1">
      <c r="C25" s="224" t="s">
        <v>2307</v>
      </c>
      <c r="D25" s="471"/>
      <c r="E25" s="226"/>
      <c r="F25" s="226"/>
      <c r="G25" s="226"/>
      <c r="H25" s="226"/>
      <c r="I25" s="226"/>
      <c r="J25" s="226"/>
      <c r="K25" s="226"/>
      <c r="L25" s="226"/>
      <c r="M25" s="226"/>
      <c r="N25" s="493"/>
    </row>
    <row r="26" spans="1:14" s="225" customFormat="1" ht="15.75" customHeight="1">
      <c r="C26" s="224" t="s">
        <v>2308</v>
      </c>
      <c r="D26" s="471"/>
      <c r="E26" s="226"/>
      <c r="F26" s="226"/>
      <c r="G26" s="226"/>
      <c r="H26" s="226"/>
      <c r="I26" s="226"/>
      <c r="J26" s="226"/>
      <c r="K26" s="226"/>
      <c r="L26" s="226"/>
      <c r="M26" s="226"/>
      <c r="N26" s="493"/>
    </row>
    <row r="27" spans="1:14" s="225" customFormat="1" ht="15.75" customHeight="1">
      <c r="D27" s="492"/>
      <c r="E27" s="226"/>
      <c r="F27" s="226"/>
      <c r="G27" s="226"/>
      <c r="H27" s="226"/>
      <c r="I27" s="226"/>
      <c r="J27" s="226"/>
      <c r="K27" s="226"/>
      <c r="L27" s="226"/>
      <c r="M27" s="226"/>
      <c r="N27" s="493"/>
    </row>
    <row r="28" spans="1:14" s="225" customFormat="1" ht="15.75" customHeight="1">
      <c r="B28" s="224" t="s">
        <v>2051</v>
      </c>
      <c r="C28" s="225" t="s">
        <v>2309</v>
      </c>
      <c r="D28" s="492"/>
      <c r="E28" s="226"/>
      <c r="F28" s="226"/>
      <c r="G28" s="226"/>
      <c r="H28" s="226"/>
      <c r="I28" s="226"/>
      <c r="J28" s="226"/>
      <c r="K28" s="226"/>
      <c r="L28" s="226"/>
      <c r="M28" s="226"/>
      <c r="N28" s="493" t="s">
        <v>2002</v>
      </c>
    </row>
    <row r="29" spans="1:14" s="225" customFormat="1" ht="15.75" customHeight="1">
      <c r="C29" s="224" t="s">
        <v>2298</v>
      </c>
      <c r="D29" s="471"/>
      <c r="E29" s="226"/>
      <c r="F29" s="226"/>
      <c r="G29" s="226"/>
      <c r="H29" s="226"/>
      <c r="I29" s="226"/>
      <c r="J29" s="226"/>
      <c r="K29" s="226"/>
      <c r="L29" s="226"/>
      <c r="M29" s="226"/>
      <c r="N29" s="493"/>
    </row>
    <row r="30" spans="1:14" s="225" customFormat="1" ht="15.75" customHeight="1">
      <c r="A30" s="224"/>
      <c r="B30" s="224"/>
      <c r="C30" s="472" t="s">
        <v>2311</v>
      </c>
      <c r="D30" s="224"/>
      <c r="N30" s="247"/>
    </row>
    <row r="31" spans="1:14" s="225" customFormat="1" ht="15.75" customHeight="1">
      <c r="A31" s="224"/>
      <c r="B31" s="224"/>
      <c r="C31" s="472" t="s">
        <v>2312</v>
      </c>
      <c r="D31" s="224"/>
      <c r="N31" s="247"/>
    </row>
    <row r="32" spans="1:14" s="225" customFormat="1" ht="15.75" customHeight="1">
      <c r="A32" s="224"/>
      <c r="C32" s="472" t="s">
        <v>2313</v>
      </c>
      <c r="D32" s="224"/>
      <c r="N32" s="247"/>
    </row>
    <row r="33" spans="1:14" s="225" customFormat="1" ht="15.75" customHeight="1">
      <c r="A33" s="224"/>
      <c r="B33" s="224"/>
      <c r="C33" s="472" t="s">
        <v>2314</v>
      </c>
      <c r="D33" s="472"/>
      <c r="N33" s="247"/>
    </row>
    <row r="34" spans="1:14" s="225" customFormat="1" ht="15.75" customHeight="1">
      <c r="A34" s="224"/>
      <c r="C34" s="224"/>
      <c r="D34" s="224"/>
      <c r="N34" s="247"/>
    </row>
    <row r="35" spans="1:14" s="225" customFormat="1" ht="15.75" customHeight="1">
      <c r="A35" s="224"/>
      <c r="B35" s="224" t="s">
        <v>2055</v>
      </c>
      <c r="C35" s="224" t="s">
        <v>2310</v>
      </c>
      <c r="D35" s="224"/>
      <c r="N35" s="247" t="s">
        <v>2176</v>
      </c>
    </row>
    <row r="36" spans="1:14" s="225" customFormat="1" ht="15.75" customHeight="1">
      <c r="A36" s="224"/>
      <c r="C36" s="224" t="s">
        <v>2299</v>
      </c>
      <c r="D36" s="472"/>
      <c r="N36" s="247"/>
    </row>
    <row r="37" spans="1:14" s="225" customFormat="1" ht="15.75" customHeight="1">
      <c r="A37" s="224"/>
      <c r="B37" s="224"/>
      <c r="C37" s="472" t="s">
        <v>2315</v>
      </c>
      <c r="D37" s="472"/>
      <c r="N37" s="247"/>
    </row>
    <row r="38" spans="1:14" s="225" customFormat="1" ht="15.75" customHeight="1">
      <c r="A38" s="224"/>
      <c r="C38" s="472" t="s">
        <v>2316</v>
      </c>
      <c r="D38" s="472"/>
      <c r="N38" s="247"/>
    </row>
    <row r="39" spans="1:14" s="225" customFormat="1" ht="15.75" customHeight="1">
      <c r="A39" s="224"/>
      <c r="B39" s="224"/>
      <c r="C39" s="472" t="s">
        <v>2317</v>
      </c>
      <c r="D39" s="472"/>
      <c r="N39" s="247"/>
    </row>
    <row r="40" spans="1:14" s="225" customFormat="1" ht="15.75" customHeight="1">
      <c r="A40" s="224"/>
      <c r="B40" s="224"/>
      <c r="C40" s="472" t="s">
        <v>2318</v>
      </c>
      <c r="D40" s="472"/>
      <c r="N40" s="247"/>
    </row>
    <row r="41" spans="1:14" s="225" customFormat="1" ht="15.75" customHeight="1">
      <c r="A41" s="224"/>
      <c r="B41" s="224"/>
      <c r="C41" s="472" t="s">
        <v>2319</v>
      </c>
      <c r="D41" s="472"/>
      <c r="N41" s="247"/>
    </row>
    <row r="42" spans="1:14" s="225" customFormat="1" ht="15.75" customHeight="1">
      <c r="A42" s="224"/>
      <c r="C42" s="472" t="s">
        <v>2320</v>
      </c>
      <c r="D42" s="472"/>
      <c r="N42" s="247"/>
    </row>
    <row r="43" spans="1:14" s="225" customFormat="1" ht="15.75" customHeight="1">
      <c r="A43" s="224"/>
      <c r="B43" s="224"/>
      <c r="C43" s="472" t="s">
        <v>2321</v>
      </c>
      <c r="D43" s="472"/>
      <c r="N43" s="247"/>
    </row>
    <row r="44" spans="1:14" s="225" customFormat="1" ht="15.75" customHeight="1">
      <c r="A44" s="224"/>
      <c r="B44" s="224"/>
      <c r="C44" s="472" t="s">
        <v>2322</v>
      </c>
      <c r="D44" s="224"/>
      <c r="N44" s="247"/>
    </row>
    <row r="45" spans="1:14" s="225" customFormat="1" ht="15.75" customHeight="1">
      <c r="A45" s="224"/>
      <c r="B45" s="224"/>
      <c r="C45" s="472" t="s">
        <v>2323</v>
      </c>
      <c r="D45" s="224"/>
      <c r="N45" s="247"/>
    </row>
    <row r="46" spans="1:14" s="225" customFormat="1" ht="15.75" customHeight="1">
      <c r="A46" s="224"/>
      <c r="C46" s="472"/>
      <c r="D46" s="472"/>
      <c r="N46" s="247"/>
    </row>
    <row r="47" spans="1:14" s="225" customFormat="1" ht="15.75" customHeight="1">
      <c r="A47" s="224"/>
      <c r="B47" s="224" t="s">
        <v>2061</v>
      </c>
      <c r="C47" s="224" t="s">
        <v>2334</v>
      </c>
      <c r="D47" s="472"/>
      <c r="N47" s="247" t="s">
        <v>2002</v>
      </c>
    </row>
    <row r="48" spans="1:14" s="225" customFormat="1" ht="15.75" customHeight="1">
      <c r="A48" s="224"/>
      <c r="B48" s="224"/>
      <c r="C48" s="224" t="s">
        <v>2335</v>
      </c>
      <c r="D48" s="472"/>
      <c r="N48" s="247"/>
    </row>
    <row r="49" spans="1:14" s="225" customFormat="1" ht="15.75" customHeight="1">
      <c r="A49" s="224"/>
      <c r="B49" s="224"/>
      <c r="C49" s="224"/>
      <c r="D49" s="472"/>
      <c r="N49" s="247"/>
    </row>
    <row r="50" spans="1:14" s="225" customFormat="1" ht="15.75" customHeight="1">
      <c r="A50" s="224"/>
      <c r="B50" s="224" t="s">
        <v>2070</v>
      </c>
      <c r="C50" s="224" t="s">
        <v>2336</v>
      </c>
      <c r="D50" s="472"/>
      <c r="N50" s="247" t="s">
        <v>2032</v>
      </c>
    </row>
    <row r="51" spans="1:14" s="225" customFormat="1" ht="15.75" customHeight="1">
      <c r="A51" s="224"/>
      <c r="B51" s="224"/>
      <c r="C51" s="224" t="s">
        <v>2337</v>
      </c>
      <c r="D51" s="472"/>
      <c r="N51" s="247"/>
    </row>
    <row r="52" spans="1:14" s="225" customFormat="1" ht="15.75" customHeight="1">
      <c r="A52" s="224"/>
      <c r="B52" s="224"/>
      <c r="C52" s="224"/>
      <c r="D52" s="472"/>
      <c r="N52" s="247"/>
    </row>
    <row r="53" spans="1:14" s="225" customFormat="1" ht="15.75" customHeight="1">
      <c r="A53" s="224"/>
      <c r="B53" s="224" t="s">
        <v>2076</v>
      </c>
      <c r="C53" s="472" t="s">
        <v>2338</v>
      </c>
      <c r="D53" s="472"/>
      <c r="N53" s="247" t="s">
        <v>2177</v>
      </c>
    </row>
    <row r="54" spans="1:14" s="225" customFormat="1" ht="15.75" customHeight="1">
      <c r="A54" s="224"/>
      <c r="B54" s="224"/>
      <c r="C54" s="472" t="s">
        <v>2339</v>
      </c>
      <c r="D54" s="472"/>
      <c r="N54" s="247"/>
    </row>
    <row r="55" spans="1:14" s="225" customFormat="1" ht="15.75" customHeight="1">
      <c r="A55" s="224"/>
      <c r="B55" s="224"/>
      <c r="C55" s="472" t="s">
        <v>2340</v>
      </c>
      <c r="D55" s="472"/>
      <c r="N55" s="247"/>
    </row>
    <row r="56" spans="1:14" s="225" customFormat="1" ht="15.75" customHeight="1">
      <c r="A56" s="224"/>
      <c r="B56" s="224"/>
      <c r="C56" s="472"/>
      <c r="D56" s="472"/>
      <c r="N56" s="247"/>
    </row>
    <row r="57" spans="1:14" s="225" customFormat="1" ht="15.75" customHeight="1">
      <c r="A57" s="224"/>
      <c r="B57" s="224" t="s">
        <v>2096</v>
      </c>
      <c r="C57" s="472" t="s">
        <v>1985</v>
      </c>
      <c r="D57" s="472"/>
      <c r="N57" s="247" t="s">
        <v>1311</v>
      </c>
    </row>
    <row r="58" spans="1:14" s="225" customFormat="1" ht="15.75" customHeight="1">
      <c r="C58" s="472" t="s">
        <v>2324</v>
      </c>
      <c r="D58" s="224"/>
      <c r="N58" s="247"/>
    </row>
    <row r="59" spans="1:14" s="225" customFormat="1" ht="15.75" customHeight="1">
      <c r="B59" s="253"/>
      <c r="C59" s="472" t="s">
        <v>2325</v>
      </c>
      <c r="D59" s="224"/>
      <c r="N59" s="247"/>
    </row>
    <row r="60" spans="1:14" s="225" customFormat="1" ht="15.75" customHeight="1">
      <c r="C60" s="224" t="s">
        <v>2326</v>
      </c>
      <c r="D60" s="472"/>
      <c r="N60" s="247"/>
    </row>
    <row r="61" spans="1:14" s="225" customFormat="1" ht="15.75" customHeight="1">
      <c r="C61" s="224" t="s">
        <v>2327</v>
      </c>
      <c r="D61" s="472"/>
      <c r="N61" s="247"/>
    </row>
    <row r="62" spans="1:14" s="225" customFormat="1" ht="15.75" customHeight="1">
      <c r="B62" s="224"/>
      <c r="C62" s="472" t="s">
        <v>2328</v>
      </c>
      <c r="D62" s="472"/>
      <c r="N62" s="247"/>
    </row>
    <row r="63" spans="1:14" s="225" customFormat="1" ht="15.75" customHeight="1">
      <c r="C63" s="224" t="s">
        <v>2329</v>
      </c>
      <c r="D63" s="472"/>
      <c r="N63" s="247"/>
    </row>
    <row r="64" spans="1:14" s="225" customFormat="1" ht="15.75" customHeight="1">
      <c r="B64" s="224"/>
      <c r="C64" s="472" t="s">
        <v>2330</v>
      </c>
      <c r="D64" s="472"/>
      <c r="N64" s="247"/>
    </row>
    <row r="65" spans="1:14" s="225" customFormat="1" ht="15.75" customHeight="1">
      <c r="B65" s="224"/>
      <c r="C65" s="472" t="s">
        <v>2331</v>
      </c>
      <c r="D65" s="472"/>
      <c r="N65" s="247"/>
    </row>
    <row r="66" spans="1:14" s="225" customFormat="1" ht="15.75" customHeight="1">
      <c r="C66" s="224" t="s">
        <v>2332</v>
      </c>
      <c r="D66" s="472"/>
      <c r="N66" s="247"/>
    </row>
    <row r="67" spans="1:14" s="225" customFormat="1" ht="15.75" customHeight="1">
      <c r="C67" s="224" t="s">
        <v>2333</v>
      </c>
      <c r="D67" s="472"/>
      <c r="N67" s="247"/>
    </row>
    <row r="68" spans="1:14" s="225" customFormat="1" ht="15.75" customHeight="1">
      <c r="D68" s="472"/>
      <c r="N68" s="247"/>
    </row>
    <row r="69" spans="1:14" s="225" customFormat="1" ht="15.75" customHeight="1">
      <c r="B69" s="224" t="s">
        <v>2100</v>
      </c>
      <c r="C69" s="224" t="s">
        <v>1391</v>
      </c>
      <c r="D69" s="472"/>
      <c r="N69" s="247"/>
    </row>
    <row r="70" spans="1:14" s="225" customFormat="1" ht="15.75" customHeight="1">
      <c r="D70" s="472"/>
      <c r="N70" s="247"/>
    </row>
    <row r="71" spans="1:14" s="225" customFormat="1" ht="15.75" customHeight="1">
      <c r="C71" s="224"/>
      <c r="D71" s="472"/>
    </row>
    <row r="72" spans="1:14" s="225" customFormat="1" ht="15.75" customHeight="1">
      <c r="D72" s="472"/>
    </row>
    <row r="73" spans="1:14" s="229" customFormat="1" ht="15.75" customHeight="1">
      <c r="A73" s="253"/>
      <c r="B73" s="253"/>
      <c r="C73" s="224"/>
      <c r="D73" s="224"/>
      <c r="E73" s="225"/>
      <c r="F73" s="225"/>
      <c r="G73" s="225"/>
      <c r="H73" s="225"/>
      <c r="I73" s="225"/>
      <c r="J73" s="225"/>
      <c r="K73" s="225"/>
      <c r="L73" s="225"/>
    </row>
    <row r="74" spans="1:14" s="225" customFormat="1" ht="15.75" customHeight="1">
      <c r="A74" s="264"/>
      <c r="B74" s="224"/>
      <c r="C74" s="224"/>
      <c r="D74" s="224"/>
    </row>
    <row r="75" spans="1:14" s="225" customFormat="1" ht="15.75" customHeight="1">
      <c r="A75" s="264"/>
      <c r="B75" s="264"/>
    </row>
    <row r="76" spans="1:14" s="225" customFormat="1" ht="15.75" customHeight="1">
      <c r="A76" s="264"/>
      <c r="B76" s="264"/>
      <c r="C76" s="224"/>
      <c r="D76" s="224"/>
    </row>
    <row r="77" spans="1:14" s="225" customFormat="1" ht="15.75" customHeight="1">
      <c r="A77" s="264"/>
      <c r="B77" s="264"/>
      <c r="D77" s="224"/>
    </row>
    <row r="78" spans="1:14" s="225" customFormat="1" ht="15.75" customHeight="1">
      <c r="A78" s="264"/>
      <c r="B78" s="264"/>
    </row>
    <row r="79" spans="1:14" s="225" customFormat="1" ht="15.75" customHeight="1">
      <c r="A79" s="264"/>
      <c r="B79" s="264"/>
      <c r="C79" s="224"/>
      <c r="D79" s="224"/>
    </row>
    <row r="80" spans="1:14" s="225" customFormat="1" ht="15.75" customHeight="1">
      <c r="A80" s="264"/>
      <c r="B80" s="264"/>
    </row>
    <row r="81" spans="1:14" s="225" customFormat="1" ht="15.75" customHeight="1">
      <c r="A81" s="264"/>
      <c r="B81" s="264"/>
      <c r="C81" s="224"/>
      <c r="D81" s="224"/>
    </row>
    <row r="82" spans="1:14" s="225" customFormat="1" ht="15.75" customHeight="1">
      <c r="A82" s="264"/>
      <c r="B82" s="264"/>
    </row>
    <row r="83" spans="1:14" s="225" customFormat="1" ht="15.75" customHeight="1">
      <c r="A83" s="264"/>
      <c r="B83" s="253"/>
      <c r="N83" s="247"/>
    </row>
    <row r="84" spans="1:14" s="225" customFormat="1" ht="15.75" customHeight="1">
      <c r="A84" s="264"/>
      <c r="B84" s="264"/>
    </row>
    <row r="85" spans="1:14" s="225" customFormat="1" ht="15.75" customHeight="1">
      <c r="A85" s="264"/>
      <c r="B85" s="253"/>
      <c r="C85" s="224"/>
      <c r="N85" s="247"/>
    </row>
    <row r="86" spans="1:14" s="225" customFormat="1" ht="15.75" customHeight="1">
      <c r="A86" s="264"/>
      <c r="B86" s="264"/>
    </row>
    <row r="87" spans="1:14" s="225" customFormat="1" ht="15.75" customHeight="1">
      <c r="A87" s="264"/>
      <c r="B87" s="253"/>
      <c r="C87" s="224"/>
      <c r="N87" s="247"/>
    </row>
    <row r="88" spans="1:14" s="225" customFormat="1" ht="15.75" customHeight="1">
      <c r="A88" s="264"/>
      <c r="B88" s="264"/>
      <c r="D88" s="224"/>
    </row>
    <row r="89" spans="1:14" s="225" customFormat="1" ht="15.75" customHeight="1">
      <c r="A89" s="264"/>
      <c r="B89" s="264"/>
      <c r="D89" s="224"/>
    </row>
    <row r="90" spans="1:14" s="225" customFormat="1" ht="15.75" customHeight="1">
      <c r="A90" s="264"/>
      <c r="B90" s="264"/>
    </row>
    <row r="91" spans="1:14" s="225" customFormat="1" ht="15.75" customHeight="1">
      <c r="A91" s="264"/>
      <c r="B91" s="253"/>
      <c r="C91" s="224"/>
      <c r="N91" s="247"/>
    </row>
    <row r="92" spans="1:14" s="225" customFormat="1" ht="15.75" customHeight="1">
      <c r="A92" s="264"/>
      <c r="B92" s="264"/>
    </row>
    <row r="93" spans="1:14" s="225" customFormat="1" ht="15.75" customHeight="1">
      <c r="B93" s="224"/>
      <c r="C93" s="224"/>
      <c r="N93" s="247"/>
    </row>
    <row r="94" spans="1:14" s="225" customFormat="1" ht="15.75" customHeight="1"/>
    <row r="95" spans="1:14" s="225" customFormat="1" ht="15.75" customHeight="1">
      <c r="B95" s="224"/>
      <c r="C95" s="224"/>
      <c r="N95" s="247"/>
    </row>
    <row r="96" spans="1:14" s="225" customFormat="1" ht="15.75" customHeight="1"/>
    <row r="97" spans="2:14" s="225" customFormat="1" ht="15.75" customHeight="1">
      <c r="B97" s="224"/>
      <c r="C97" s="227"/>
      <c r="N97" s="252"/>
    </row>
    <row r="98" spans="2:14" s="225" customFormat="1" ht="15.75" customHeight="1">
      <c r="D98" s="223"/>
    </row>
    <row r="99" spans="2:14" s="225" customFormat="1" ht="15.75" customHeight="1">
      <c r="D99" s="223"/>
    </row>
    <row r="100" spans="2:14" s="225" customFormat="1" ht="15.75" customHeight="1">
      <c r="D100" s="223"/>
    </row>
    <row r="101" spans="2:14" s="225" customFormat="1" ht="15.75" customHeight="1"/>
    <row r="102" spans="2:14" s="225" customFormat="1" ht="15.75" customHeight="1">
      <c r="B102" s="224"/>
      <c r="C102" s="223"/>
    </row>
  </sheetData>
  <mergeCells count="5">
    <mergeCell ref="H2:I3"/>
    <mergeCell ref="J2:K2"/>
    <mergeCell ref="N2:O2"/>
    <mergeCell ref="J3:K3"/>
    <mergeCell ref="N3:O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67" orientation="portrait" r:id="rId1"/>
  <colBreaks count="1" manualBreakCount="1">
    <brk id="16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40">
    <tabColor rgb="FF00B050"/>
  </sheetPr>
  <dimension ref="A1:K195"/>
  <sheetViews>
    <sheetView topLeftCell="A178" zoomScaleSheetLayoutView="70" workbookViewId="0">
      <selection activeCell="A2" sqref="A2"/>
    </sheetView>
  </sheetViews>
  <sheetFormatPr defaultRowHeight="16.5" customHeight="1"/>
  <cols>
    <col min="1" max="2" width="2.625" style="265" customWidth="1"/>
    <col min="3" max="3" width="35.875" style="265" customWidth="1"/>
    <col min="4" max="9" width="18.625" style="265" customWidth="1"/>
    <col min="10" max="10" width="14.25" style="265" bestFit="1" customWidth="1"/>
    <col min="11" max="11" width="9" style="265"/>
    <col min="12" max="12" width="10" style="265" bestFit="1" customWidth="1"/>
    <col min="13" max="16384" width="9" style="265"/>
  </cols>
  <sheetData>
    <row r="1" spans="1:9" s="454" customFormat="1" ht="16.5" customHeight="1">
      <c r="A1" s="1330" t="str">
        <f>기본사항!$C$2</f>
        <v>(재)한국여성재단</v>
      </c>
      <c r="B1" s="1331"/>
      <c r="C1" s="1331"/>
      <c r="D1" s="1331"/>
      <c r="E1" s="1332"/>
      <c r="F1" s="453" t="s">
        <v>112</v>
      </c>
      <c r="G1" s="453" t="s">
        <v>241</v>
      </c>
      <c r="H1" s="453" t="s">
        <v>242</v>
      </c>
    </row>
    <row r="2" spans="1:9" s="454" customFormat="1" ht="16.5" customHeight="1">
      <c r="A2" s="1330" t="str">
        <f>기본사항!G2&amp;"년 "&amp;TableofContents!$D$31</f>
        <v>2011년 이연법인세,법인세비용</v>
      </c>
      <c r="B2" s="1331"/>
      <c r="C2" s="1331"/>
      <c r="D2" s="1331"/>
      <c r="E2" s="1332"/>
      <c r="F2" s="1333" t="str">
        <f>TableofContents!$B$31</f>
        <v>T</v>
      </c>
      <c r="G2" s="1335">
        <f>기본사항!$C$14</f>
        <v>40563</v>
      </c>
      <c r="H2" s="1337" t="str">
        <f>기본사항!$C$17</f>
        <v>Kbj</v>
      </c>
    </row>
    <row r="3" spans="1:9" s="454" customFormat="1" ht="16.5" customHeight="1">
      <c r="A3" s="1330" t="str">
        <f>기본사항!$C$9</f>
        <v>A : 12-31-2011</v>
      </c>
      <c r="B3" s="1331"/>
      <c r="C3" s="1331"/>
      <c r="D3" s="1331"/>
      <c r="E3" s="1332"/>
      <c r="F3" s="1334"/>
      <c r="G3" s="1336"/>
      <c r="H3" s="1338"/>
    </row>
    <row r="6" spans="1:9" ht="16.5" customHeight="1">
      <c r="A6" s="222" t="s">
        <v>125</v>
      </c>
    </row>
    <row r="7" spans="1:9" s="267" customFormat="1" ht="16.5" customHeight="1">
      <c r="A7" s="266" t="s">
        <v>712</v>
      </c>
      <c r="B7" s="267" t="s">
        <v>713</v>
      </c>
    </row>
    <row r="8" spans="1:9" s="267" customFormat="1" ht="16.5" customHeight="1">
      <c r="B8" s="266" t="s">
        <v>614</v>
      </c>
      <c r="C8" s="267" t="s">
        <v>615</v>
      </c>
    </row>
    <row r="9" spans="1:9" s="267" customFormat="1" ht="16.5" customHeight="1">
      <c r="C9" s="267" t="s">
        <v>616</v>
      </c>
    </row>
    <row r="10" spans="1:9" s="267" customFormat="1" ht="16.5" customHeight="1">
      <c r="C10" s="295" t="s">
        <v>1034</v>
      </c>
      <c r="D10" s="295" t="s">
        <v>1035</v>
      </c>
      <c r="E10" s="295" t="s">
        <v>1036</v>
      </c>
      <c r="G10" s="497" t="s">
        <v>714</v>
      </c>
      <c r="H10" s="497" t="s">
        <v>715</v>
      </c>
      <c r="I10" s="268"/>
    </row>
    <row r="11" spans="1:9" ht="16.5" customHeight="1">
      <c r="C11" s="299" t="s">
        <v>1012</v>
      </c>
      <c r="D11" s="296"/>
      <c r="E11" s="296"/>
      <c r="G11" s="267" t="s">
        <v>617</v>
      </c>
      <c r="H11" s="265">
        <f>'T(세무조정)'!E22</f>
        <v>-268590723</v>
      </c>
      <c r="I11" s="269"/>
    </row>
    <row r="12" spans="1:9" ht="16.5" customHeight="1">
      <c r="C12" s="300" t="s">
        <v>1013</v>
      </c>
      <c r="D12" s="297"/>
      <c r="E12" s="297"/>
      <c r="F12" s="270"/>
      <c r="G12" s="267" t="s">
        <v>618</v>
      </c>
      <c r="H12" s="265">
        <f>'T(세무조정)'!E23</f>
        <v>0</v>
      </c>
      <c r="I12" s="269"/>
    </row>
    <row r="13" spans="1:9" ht="16.5" customHeight="1">
      <c r="C13" s="300" t="s">
        <v>1014</v>
      </c>
      <c r="D13" s="297"/>
      <c r="E13" s="297"/>
      <c r="F13" s="270"/>
      <c r="G13" s="267" t="s">
        <v>139</v>
      </c>
      <c r="H13" s="265">
        <f>'T(세무조정)'!E24</f>
        <v>0</v>
      </c>
      <c r="I13" s="268"/>
    </row>
    <row r="14" spans="1:9" ht="16.5" customHeight="1">
      <c r="C14" s="300" t="s">
        <v>1015</v>
      </c>
      <c r="D14" s="297"/>
      <c r="E14" s="297"/>
      <c r="F14" s="270"/>
      <c r="G14" s="267" t="s">
        <v>235</v>
      </c>
      <c r="H14" s="271">
        <f>H11+H12-H13</f>
        <v>-268590723</v>
      </c>
      <c r="I14" s="269"/>
    </row>
    <row r="15" spans="1:9" ht="16.5" customHeight="1">
      <c r="C15" s="300" t="s">
        <v>681</v>
      </c>
      <c r="D15" s="297"/>
      <c r="E15" s="297"/>
      <c r="F15" s="270"/>
      <c r="G15" s="265" t="s">
        <v>619</v>
      </c>
      <c r="H15" s="265">
        <f>'T(세무조정)'!E29</f>
        <v>0</v>
      </c>
    </row>
    <row r="16" spans="1:9" ht="16.5" customHeight="1">
      <c r="C16" s="300" t="s">
        <v>140</v>
      </c>
      <c r="D16" s="297"/>
      <c r="E16" s="297"/>
      <c r="F16" s="270"/>
      <c r="G16" s="267" t="s">
        <v>620</v>
      </c>
      <c r="H16" s="272">
        <f>H14-H15</f>
        <v>-268590723</v>
      </c>
    </row>
    <row r="17" spans="3:9" ht="16.5" customHeight="1">
      <c r="C17" s="300" t="s">
        <v>11</v>
      </c>
      <c r="D17" s="297"/>
      <c r="E17" s="297"/>
      <c r="F17" s="270"/>
      <c r="G17" s="267" t="s">
        <v>621</v>
      </c>
      <c r="H17" s="267">
        <f>IF(H16&lt;0,0,IF(H16&lt;$G$27,ROUNDDOWN(G27*H27,0),ROUNDDOWN(SUM(((H16-$G$27)*H28),($G$27*$H$27)),0)))</f>
        <v>0</v>
      </c>
    </row>
    <row r="18" spans="3:9" ht="16.5" customHeight="1">
      <c r="C18" s="300" t="s">
        <v>1024</v>
      </c>
      <c r="D18" s="297"/>
      <c r="E18" s="297"/>
      <c r="F18" s="270"/>
      <c r="G18" s="265" t="s">
        <v>622</v>
      </c>
    </row>
    <row r="19" spans="3:9" ht="16.5" customHeight="1">
      <c r="C19" s="300" t="s">
        <v>1016</v>
      </c>
      <c r="D19" s="297"/>
      <c r="E19" s="297"/>
      <c r="F19" s="270"/>
      <c r="G19" s="267" t="s">
        <v>623</v>
      </c>
      <c r="H19" s="267"/>
    </row>
    <row r="20" spans="3:9" ht="16.5" customHeight="1">
      <c r="C20" s="300" t="s">
        <v>1025</v>
      </c>
      <c r="D20" s="297"/>
      <c r="E20" s="297"/>
      <c r="F20" s="270"/>
      <c r="G20" s="267" t="s">
        <v>624</v>
      </c>
      <c r="H20" s="267">
        <v>54137260</v>
      </c>
    </row>
    <row r="21" spans="3:9" ht="16.5" customHeight="1">
      <c r="C21" s="300" t="s">
        <v>1017</v>
      </c>
      <c r="D21" s="297"/>
      <c r="E21" s="297"/>
      <c r="F21" s="270"/>
      <c r="G21" s="267" t="s">
        <v>625</v>
      </c>
      <c r="H21" s="267">
        <v>7436000</v>
      </c>
    </row>
    <row r="22" spans="3:9" ht="16.5" customHeight="1">
      <c r="C22" s="300"/>
      <c r="D22" s="297"/>
      <c r="E22" s="297"/>
      <c r="F22" s="270"/>
      <c r="G22" s="267" t="s">
        <v>626</v>
      </c>
      <c r="H22" s="271">
        <f>SUM(H17,-H18,-H19,-H20,-H21)</f>
        <v>-61573260</v>
      </c>
    </row>
    <row r="23" spans="3:9" ht="16.5" customHeight="1">
      <c r="C23" s="300"/>
      <c r="D23" s="297"/>
      <c r="E23" s="297"/>
      <c r="F23" s="270"/>
      <c r="G23" s="267" t="s">
        <v>627</v>
      </c>
      <c r="H23" s="267"/>
    </row>
    <row r="24" spans="3:9" ht="16.5" customHeight="1">
      <c r="C24" s="300"/>
      <c r="D24" s="297"/>
      <c r="E24" s="297"/>
      <c r="F24" s="270"/>
      <c r="G24" s="267" t="s">
        <v>628</v>
      </c>
      <c r="H24" s="267">
        <f>ROUNDDOWN(H17*0.1,-1)</f>
        <v>0</v>
      </c>
    </row>
    <row r="25" spans="3:9" ht="16.5" customHeight="1">
      <c r="C25" s="300"/>
      <c r="D25" s="297"/>
      <c r="E25" s="297"/>
      <c r="F25" s="270"/>
    </row>
    <row r="26" spans="3:9" ht="16.5" customHeight="1">
      <c r="C26" s="300"/>
      <c r="D26" s="297"/>
      <c r="E26" s="297"/>
      <c r="F26" s="270"/>
      <c r="G26" s="273" t="s">
        <v>714</v>
      </c>
      <c r="H26" s="273" t="str">
        <f>기본사항!G2&amp;"년 세율"</f>
        <v>2011년 세율</v>
      </c>
      <c r="I26" s="273" t="str">
        <f>기본사항!G2+1&amp;"년 세율"</f>
        <v>2012년 세율</v>
      </c>
    </row>
    <row r="27" spans="3:9" ht="16.5" customHeight="1">
      <c r="C27" s="301"/>
      <c r="D27" s="298"/>
      <c r="E27" s="298"/>
      <c r="F27" s="270"/>
      <c r="G27" s="274">
        <v>200000000</v>
      </c>
      <c r="H27" s="274">
        <v>0.1</v>
      </c>
      <c r="I27" s="274">
        <v>0.1</v>
      </c>
    </row>
    <row r="28" spans="3:9" ht="16.5" customHeight="1">
      <c r="C28" s="302" t="s">
        <v>629</v>
      </c>
      <c r="D28" s="303">
        <f>SUM(D11:D27)</f>
        <v>0</v>
      </c>
      <c r="E28" s="303">
        <f>SUM(E11:E27)</f>
        <v>0</v>
      </c>
      <c r="F28" s="270"/>
      <c r="G28" s="274">
        <v>200000000</v>
      </c>
      <c r="H28" s="274">
        <v>0.22</v>
      </c>
      <c r="I28" s="274">
        <v>0.2</v>
      </c>
    </row>
    <row r="29" spans="3:9" ht="16.5" customHeight="1">
      <c r="C29" s="274" t="s">
        <v>630</v>
      </c>
      <c r="D29" s="293"/>
      <c r="E29" s="293"/>
      <c r="F29" s="270"/>
    </row>
    <row r="30" spans="3:9" ht="16.5" customHeight="1">
      <c r="C30" s="302" t="s">
        <v>631</v>
      </c>
      <c r="D30" s="303">
        <f>D28-D29</f>
        <v>0</v>
      </c>
      <c r="E30" s="303">
        <f>E28-E29</f>
        <v>0</v>
      </c>
      <c r="F30" s="270"/>
    </row>
    <row r="31" spans="3:9" ht="16.5" customHeight="1">
      <c r="C31" s="268"/>
      <c r="D31" s="275"/>
      <c r="E31" s="275"/>
      <c r="F31" s="270"/>
    </row>
    <row r="32" spans="3:9" ht="16.5" customHeight="1">
      <c r="C32" s="267" t="s">
        <v>632</v>
      </c>
      <c r="D32" s="276"/>
      <c r="E32" s="276"/>
      <c r="F32" s="270"/>
    </row>
    <row r="33" spans="3:7" ht="16.5" customHeight="1">
      <c r="C33" s="295" t="s">
        <v>1037</v>
      </c>
      <c r="D33" s="295" t="s">
        <v>1038</v>
      </c>
      <c r="E33" s="295" t="s">
        <v>1039</v>
      </c>
      <c r="F33" s="270"/>
    </row>
    <row r="34" spans="3:7" ht="16.5" customHeight="1">
      <c r="C34" s="299" t="s">
        <v>1023</v>
      </c>
      <c r="D34" s="305"/>
      <c r="E34" s="305"/>
    </row>
    <row r="35" spans="3:7" ht="16.5" customHeight="1">
      <c r="C35" s="300" t="s">
        <v>1018</v>
      </c>
      <c r="D35" s="297"/>
      <c r="E35" s="307"/>
    </row>
    <row r="36" spans="3:7" s="267" customFormat="1" ht="16.5" customHeight="1">
      <c r="C36" s="300" t="s">
        <v>140</v>
      </c>
      <c r="D36" s="297"/>
      <c r="E36" s="297"/>
    </row>
    <row r="37" spans="3:7" s="267" customFormat="1" ht="16.5" customHeight="1">
      <c r="C37" s="300" t="s">
        <v>1027</v>
      </c>
      <c r="D37" s="297"/>
      <c r="E37" s="297"/>
    </row>
    <row r="38" spans="3:7" s="267" customFormat="1" ht="16.5" customHeight="1">
      <c r="C38" s="300" t="s">
        <v>1026</v>
      </c>
      <c r="D38" s="297"/>
      <c r="E38" s="297"/>
    </row>
    <row r="39" spans="3:7" s="267" customFormat="1" ht="16.5" customHeight="1">
      <c r="C39" s="300" t="s">
        <v>1024</v>
      </c>
      <c r="D39" s="297"/>
      <c r="E39" s="297"/>
    </row>
    <row r="40" spans="3:7" s="267" customFormat="1" ht="16.5" customHeight="1">
      <c r="C40" s="300" t="s">
        <v>1016</v>
      </c>
      <c r="D40" s="297"/>
      <c r="E40" s="297"/>
    </row>
    <row r="41" spans="3:7" s="267" customFormat="1" ht="16.5" customHeight="1">
      <c r="C41" s="300" t="s">
        <v>1022</v>
      </c>
      <c r="D41" s="297"/>
      <c r="E41" s="297"/>
    </row>
    <row r="42" spans="3:7" s="267" customFormat="1" ht="16.5" customHeight="1">
      <c r="C42" s="300"/>
      <c r="D42" s="297"/>
      <c r="E42" s="297"/>
    </row>
    <row r="43" spans="3:7" s="267" customFormat="1" ht="16.5" customHeight="1">
      <c r="C43" s="300"/>
      <c r="D43" s="297"/>
      <c r="E43" s="297"/>
      <c r="G43" s="277"/>
    </row>
    <row r="44" spans="3:7" s="267" customFormat="1" ht="16.5" customHeight="1">
      <c r="C44" s="300"/>
      <c r="D44" s="297"/>
      <c r="E44" s="307"/>
      <c r="G44" s="277"/>
    </row>
    <row r="45" spans="3:7" ht="16.5" customHeight="1">
      <c r="C45" s="300"/>
      <c r="D45" s="297"/>
      <c r="E45" s="297"/>
    </row>
    <row r="46" spans="3:7" ht="16.5" customHeight="1">
      <c r="C46" s="300"/>
      <c r="D46" s="297"/>
      <c r="E46" s="297"/>
      <c r="F46" s="270"/>
    </row>
    <row r="47" spans="3:7" ht="16.5" customHeight="1">
      <c r="C47" s="304"/>
      <c r="D47" s="306"/>
      <c r="E47" s="306"/>
      <c r="F47" s="270"/>
    </row>
    <row r="48" spans="3:7" ht="16.5" customHeight="1">
      <c r="C48" s="302" t="s">
        <v>629</v>
      </c>
      <c r="D48" s="303">
        <f>SUM(D34:D47)</f>
        <v>0</v>
      </c>
      <c r="E48" s="303">
        <f>SUM(E32:E47)</f>
        <v>0</v>
      </c>
      <c r="F48" s="270"/>
    </row>
    <row r="49" spans="2:9" ht="16.5" customHeight="1">
      <c r="C49" s="274" t="s">
        <v>630</v>
      </c>
      <c r="D49" s="293"/>
      <c r="E49" s="293"/>
      <c r="F49" s="270"/>
    </row>
    <row r="50" spans="2:9" ht="16.5" customHeight="1">
      <c r="C50" s="302" t="s">
        <v>633</v>
      </c>
      <c r="D50" s="308">
        <f>D48-D49</f>
        <v>0</v>
      </c>
      <c r="E50" s="308">
        <f>E48-E49</f>
        <v>0</v>
      </c>
      <c r="F50" s="270"/>
    </row>
    <row r="51" spans="2:9" ht="16.5" customHeight="1">
      <c r="F51" s="270"/>
    </row>
    <row r="52" spans="2:9" s="267" customFormat="1" ht="16.5" customHeight="1">
      <c r="B52" s="267" t="s">
        <v>634</v>
      </c>
      <c r="C52" s="268" t="s">
        <v>635</v>
      </c>
      <c r="D52" s="278"/>
      <c r="E52" s="278"/>
    </row>
    <row r="53" spans="2:9" s="267" customFormat="1" ht="16.5" customHeight="1">
      <c r="C53" s="292" t="s">
        <v>1028</v>
      </c>
      <c r="D53" s="278"/>
      <c r="E53" s="278"/>
    </row>
    <row r="54" spans="2:9" s="267" customFormat="1" ht="16.5" customHeight="1">
      <c r="C54" s="274" t="s">
        <v>1029</v>
      </c>
      <c r="D54" s="293" t="s">
        <v>1030</v>
      </c>
      <c r="E54" s="278"/>
    </row>
    <row r="55" spans="2:9" s="267" customFormat="1" ht="16.5" customHeight="1">
      <c r="C55" s="274" t="s">
        <v>1031</v>
      </c>
      <c r="D55" s="294">
        <v>1</v>
      </c>
      <c r="E55" s="278"/>
    </row>
    <row r="56" spans="2:9" s="267" customFormat="1" ht="16.5" customHeight="1">
      <c r="C56" s="274" t="s">
        <v>1032</v>
      </c>
      <c r="D56" s="294">
        <v>2</v>
      </c>
      <c r="E56" s="278"/>
    </row>
    <row r="57" spans="2:9" s="267" customFormat="1" ht="16.5" customHeight="1">
      <c r="C57" s="268"/>
      <c r="D57" s="278"/>
      <c r="E57" s="278"/>
    </row>
    <row r="58" spans="2:9" s="267" customFormat="1" ht="16.5" customHeight="1">
      <c r="B58" s="295" t="s">
        <v>1033</v>
      </c>
      <c r="C58" s="295" t="s">
        <v>636</v>
      </c>
      <c r="D58" s="295" t="s">
        <v>637</v>
      </c>
      <c r="E58" s="295" t="s">
        <v>638</v>
      </c>
      <c r="F58" s="295" t="s">
        <v>639</v>
      </c>
      <c r="G58" s="295" t="s">
        <v>640</v>
      </c>
      <c r="H58" s="295" t="s">
        <v>2797</v>
      </c>
      <c r="I58" s="295" t="s">
        <v>2798</v>
      </c>
    </row>
    <row r="59" spans="2:9" s="267" customFormat="1" ht="16.5" customHeight="1">
      <c r="B59" s="309">
        <v>2</v>
      </c>
      <c r="C59" s="309" t="s">
        <v>140</v>
      </c>
      <c r="D59" s="310"/>
      <c r="E59" s="310">
        <f>IFERROR(IF($B59=1,-VLOOKUP($C59,$C$11:$D$27,2,FALSE),VLOOKUP($C59,$C$34:$D$47,2,FALSE)),0)</f>
        <v>0</v>
      </c>
      <c r="F59" s="309">
        <f>IFERROR(IF($B59=2,VLOOKUP($C59,$C$11:$D$27,2,FALSE),-VLOOKUP($C59,$C$34:$D$47,2,FALSE)),0)</f>
        <v>0</v>
      </c>
      <c r="G59" s="309">
        <f>D59-E59+F59</f>
        <v>0</v>
      </c>
      <c r="H59" s="309"/>
      <c r="I59" s="309"/>
    </row>
    <row r="60" spans="2:9" s="267" customFormat="1" ht="16.5" customHeight="1">
      <c r="B60" s="300">
        <v>2</v>
      </c>
      <c r="C60" s="300" t="s">
        <v>681</v>
      </c>
      <c r="D60" s="311"/>
      <c r="E60" s="311">
        <f t="shared" ref="E60:E76" si="0">IFERROR(IF($B60=1,-VLOOKUP($C60,$C$11:$D$27,2,FALSE),VLOOKUP($C60,$C$34:$D$47,2,FALSE)),0)</f>
        <v>0</v>
      </c>
      <c r="F60" s="300">
        <f t="shared" ref="F60:F76" si="1">IFERROR(IF($B60=2,VLOOKUP($C60,$C$11:$D$27,2,FALSE),-VLOOKUP($C60,$C$34:$D$47,2,FALSE)),0)</f>
        <v>0</v>
      </c>
      <c r="G60" s="300">
        <f t="shared" ref="G60:G76" si="2">D60-E60+F60</f>
        <v>0</v>
      </c>
      <c r="H60" s="300"/>
      <c r="I60" s="300"/>
    </row>
    <row r="61" spans="2:9" s="267" customFormat="1" ht="16.5" customHeight="1">
      <c r="B61" s="312">
        <v>1</v>
      </c>
      <c r="C61" s="312" t="s">
        <v>11</v>
      </c>
      <c r="D61" s="313"/>
      <c r="E61" s="313">
        <f t="shared" si="0"/>
        <v>0</v>
      </c>
      <c r="F61" s="312">
        <f t="shared" si="1"/>
        <v>0</v>
      </c>
      <c r="G61" s="312">
        <f t="shared" si="2"/>
        <v>0</v>
      </c>
      <c r="H61" s="312"/>
      <c r="I61" s="312"/>
    </row>
    <row r="62" spans="2:9" s="267" customFormat="1" ht="16.5" customHeight="1">
      <c r="B62" s="312">
        <v>2</v>
      </c>
      <c r="C62" s="312" t="s">
        <v>1019</v>
      </c>
      <c r="D62" s="313"/>
      <c r="E62" s="313">
        <f t="shared" si="0"/>
        <v>0</v>
      </c>
      <c r="F62" s="312">
        <f t="shared" si="1"/>
        <v>0</v>
      </c>
      <c r="G62" s="312">
        <f t="shared" si="2"/>
        <v>0</v>
      </c>
      <c r="H62" s="312"/>
      <c r="I62" s="312"/>
    </row>
    <row r="63" spans="2:9" s="267" customFormat="1" ht="16.5" customHeight="1">
      <c r="B63" s="312">
        <v>1</v>
      </c>
      <c r="C63" s="312" t="s">
        <v>1018</v>
      </c>
      <c r="D63" s="313"/>
      <c r="E63" s="313">
        <f t="shared" si="0"/>
        <v>0</v>
      </c>
      <c r="F63" s="312">
        <f t="shared" si="1"/>
        <v>0</v>
      </c>
      <c r="G63" s="312">
        <f t="shared" si="2"/>
        <v>0</v>
      </c>
      <c r="H63" s="312"/>
      <c r="I63" s="312"/>
    </row>
    <row r="64" spans="2:9" s="267" customFormat="1" ht="16.5" customHeight="1">
      <c r="B64" s="312">
        <v>2</v>
      </c>
      <c r="C64" s="312" t="s">
        <v>1020</v>
      </c>
      <c r="D64" s="313"/>
      <c r="E64" s="313">
        <f t="shared" si="0"/>
        <v>0</v>
      </c>
      <c r="F64" s="312">
        <f t="shared" si="1"/>
        <v>0</v>
      </c>
      <c r="G64" s="312">
        <f t="shared" si="2"/>
        <v>0</v>
      </c>
      <c r="H64" s="312"/>
      <c r="I64" s="312"/>
    </row>
    <row r="65" spans="2:9" s="267" customFormat="1" ht="16.5" customHeight="1">
      <c r="B65" s="312">
        <v>2</v>
      </c>
      <c r="C65" s="312" t="s">
        <v>1021</v>
      </c>
      <c r="D65" s="313"/>
      <c r="E65" s="313">
        <f t="shared" si="0"/>
        <v>0</v>
      </c>
      <c r="F65" s="312">
        <f t="shared" si="1"/>
        <v>0</v>
      </c>
      <c r="G65" s="312">
        <f t="shared" si="2"/>
        <v>0</v>
      </c>
      <c r="H65" s="312"/>
      <c r="I65" s="312"/>
    </row>
    <row r="66" spans="2:9" s="267" customFormat="1" ht="16.5" customHeight="1">
      <c r="B66" s="312">
        <v>2</v>
      </c>
      <c r="C66" s="312" t="s">
        <v>1022</v>
      </c>
      <c r="D66" s="313"/>
      <c r="E66" s="313">
        <f t="shared" si="0"/>
        <v>0</v>
      </c>
      <c r="F66" s="312">
        <f t="shared" si="1"/>
        <v>0</v>
      </c>
      <c r="G66" s="312">
        <f t="shared" si="2"/>
        <v>0</v>
      </c>
      <c r="H66" s="312"/>
      <c r="I66" s="312"/>
    </row>
    <row r="67" spans="2:9" s="267" customFormat="1" ht="16.5" customHeight="1">
      <c r="B67" s="312">
        <v>1</v>
      </c>
      <c r="C67" s="312" t="s">
        <v>1016</v>
      </c>
      <c r="D67" s="313">
        <v>0</v>
      </c>
      <c r="E67" s="313">
        <f t="shared" si="0"/>
        <v>0</v>
      </c>
      <c r="F67" s="312">
        <f t="shared" si="1"/>
        <v>0</v>
      </c>
      <c r="G67" s="312">
        <f t="shared" si="2"/>
        <v>0</v>
      </c>
      <c r="H67" s="312"/>
      <c r="I67" s="312"/>
    </row>
    <row r="68" spans="2:9" s="267" customFormat="1" ht="16.5" customHeight="1">
      <c r="B68" s="312">
        <v>2</v>
      </c>
      <c r="C68" s="312" t="s">
        <v>1017</v>
      </c>
      <c r="D68" s="313">
        <v>0</v>
      </c>
      <c r="E68" s="313">
        <f t="shared" si="0"/>
        <v>0</v>
      </c>
      <c r="F68" s="312">
        <f t="shared" si="1"/>
        <v>0</v>
      </c>
      <c r="G68" s="312">
        <f t="shared" si="2"/>
        <v>0</v>
      </c>
      <c r="H68" s="312"/>
      <c r="I68" s="312"/>
    </row>
    <row r="69" spans="2:9" s="267" customFormat="1" ht="16.5" customHeight="1">
      <c r="B69" s="312"/>
      <c r="C69" s="312"/>
      <c r="D69" s="313"/>
      <c r="E69" s="313">
        <f t="shared" si="0"/>
        <v>0</v>
      </c>
      <c r="F69" s="312">
        <f t="shared" si="1"/>
        <v>0</v>
      </c>
      <c r="G69" s="312">
        <f t="shared" si="2"/>
        <v>0</v>
      </c>
      <c r="H69" s="312"/>
      <c r="I69" s="312">
        <f t="shared" ref="I69:I76" si="3">G69</f>
        <v>0</v>
      </c>
    </row>
    <row r="70" spans="2:9" s="267" customFormat="1" ht="16.5" customHeight="1">
      <c r="B70" s="312"/>
      <c r="C70" s="312"/>
      <c r="D70" s="313"/>
      <c r="E70" s="313">
        <f t="shared" si="0"/>
        <v>0</v>
      </c>
      <c r="F70" s="312">
        <f t="shared" si="1"/>
        <v>0</v>
      </c>
      <c r="G70" s="312">
        <f t="shared" si="2"/>
        <v>0</v>
      </c>
      <c r="H70" s="312"/>
      <c r="I70" s="312">
        <f t="shared" si="3"/>
        <v>0</v>
      </c>
    </row>
    <row r="71" spans="2:9" s="267" customFormat="1" ht="16.5" customHeight="1">
      <c r="B71" s="312"/>
      <c r="C71" s="312"/>
      <c r="D71" s="313"/>
      <c r="E71" s="313">
        <f t="shared" si="0"/>
        <v>0</v>
      </c>
      <c r="F71" s="312">
        <f t="shared" si="1"/>
        <v>0</v>
      </c>
      <c r="G71" s="312">
        <f t="shared" si="2"/>
        <v>0</v>
      </c>
      <c r="H71" s="312"/>
      <c r="I71" s="312">
        <f t="shared" si="3"/>
        <v>0</v>
      </c>
    </row>
    <row r="72" spans="2:9" s="267" customFormat="1" ht="16.5" customHeight="1">
      <c r="B72" s="312"/>
      <c r="C72" s="312"/>
      <c r="D72" s="313"/>
      <c r="E72" s="313">
        <f t="shared" si="0"/>
        <v>0</v>
      </c>
      <c r="F72" s="312">
        <f t="shared" si="1"/>
        <v>0</v>
      </c>
      <c r="G72" s="312">
        <f t="shared" si="2"/>
        <v>0</v>
      </c>
      <c r="H72" s="312"/>
      <c r="I72" s="312">
        <f t="shared" si="3"/>
        <v>0</v>
      </c>
    </row>
    <row r="73" spans="2:9" s="267" customFormat="1" ht="16.5" customHeight="1">
      <c r="B73" s="312"/>
      <c r="C73" s="312"/>
      <c r="D73" s="313"/>
      <c r="E73" s="313">
        <f t="shared" si="0"/>
        <v>0</v>
      </c>
      <c r="F73" s="312">
        <f t="shared" si="1"/>
        <v>0</v>
      </c>
      <c r="G73" s="312">
        <f t="shared" si="2"/>
        <v>0</v>
      </c>
      <c r="H73" s="312"/>
      <c r="I73" s="312">
        <f t="shared" si="3"/>
        <v>0</v>
      </c>
    </row>
    <row r="74" spans="2:9" s="267" customFormat="1" ht="16.5" customHeight="1">
      <c r="B74" s="312"/>
      <c r="C74" s="312"/>
      <c r="D74" s="313"/>
      <c r="E74" s="313">
        <f t="shared" si="0"/>
        <v>0</v>
      </c>
      <c r="F74" s="312">
        <f t="shared" si="1"/>
        <v>0</v>
      </c>
      <c r="G74" s="312">
        <f t="shared" si="2"/>
        <v>0</v>
      </c>
      <c r="H74" s="312"/>
      <c r="I74" s="312">
        <f t="shared" si="3"/>
        <v>0</v>
      </c>
    </row>
    <row r="75" spans="2:9" s="267" customFormat="1" ht="16.5" customHeight="1">
      <c r="B75" s="312"/>
      <c r="C75" s="312"/>
      <c r="D75" s="313"/>
      <c r="E75" s="313">
        <f t="shared" si="0"/>
        <v>0</v>
      </c>
      <c r="F75" s="312">
        <f t="shared" si="1"/>
        <v>0</v>
      </c>
      <c r="G75" s="312">
        <f t="shared" si="2"/>
        <v>0</v>
      </c>
      <c r="H75" s="312"/>
      <c r="I75" s="312">
        <f t="shared" si="3"/>
        <v>0</v>
      </c>
    </row>
    <row r="76" spans="2:9" s="267" customFormat="1" ht="16.5" customHeight="1">
      <c r="B76" s="316"/>
      <c r="C76" s="316"/>
      <c r="D76" s="317"/>
      <c r="E76" s="317">
        <f t="shared" si="0"/>
        <v>0</v>
      </c>
      <c r="F76" s="316">
        <f t="shared" si="1"/>
        <v>0</v>
      </c>
      <c r="G76" s="316">
        <f t="shared" si="2"/>
        <v>0</v>
      </c>
      <c r="H76" s="316"/>
      <c r="I76" s="316">
        <f t="shared" si="3"/>
        <v>0</v>
      </c>
    </row>
    <row r="77" spans="2:9" s="267" customFormat="1" ht="16.5" customHeight="1">
      <c r="B77" s="315"/>
      <c r="C77" s="315" t="s">
        <v>141</v>
      </c>
      <c r="D77" s="314">
        <f>SUM(D59:D76)</f>
        <v>0</v>
      </c>
      <c r="E77" s="314">
        <f t="shared" ref="E77:I77" si="4">SUM(E59:E76)</f>
        <v>0</v>
      </c>
      <c r="F77" s="314">
        <f t="shared" si="4"/>
        <v>0</v>
      </c>
      <c r="G77" s="314">
        <f t="shared" si="4"/>
        <v>0</v>
      </c>
      <c r="H77" s="314">
        <f t="shared" si="4"/>
        <v>0</v>
      </c>
      <c r="I77" s="314">
        <f t="shared" si="4"/>
        <v>0</v>
      </c>
    </row>
    <row r="78" spans="2:9" s="267" customFormat="1" ht="16.5" customHeight="1">
      <c r="B78" s="290"/>
      <c r="C78" s="290" t="s">
        <v>643</v>
      </c>
      <c r="D78" s="314">
        <v>0</v>
      </c>
      <c r="E78" s="314"/>
      <c r="F78" s="290"/>
      <c r="G78" s="290"/>
      <c r="H78" s="290"/>
      <c r="I78" s="290">
        <f>G78</f>
        <v>0</v>
      </c>
    </row>
    <row r="79" spans="2:9" s="267" customFormat="1" ht="16.5" customHeight="1">
      <c r="B79" s="315"/>
      <c r="C79" s="315" t="s">
        <v>141</v>
      </c>
      <c r="D79" s="314">
        <f>SUM(D77:D78)</f>
        <v>0</v>
      </c>
      <c r="E79" s="314">
        <f t="shared" ref="E79:I79" si="5">SUM(E77:E78)</f>
        <v>0</v>
      </c>
      <c r="F79" s="314">
        <f t="shared" si="5"/>
        <v>0</v>
      </c>
      <c r="G79" s="314">
        <f t="shared" si="5"/>
        <v>0</v>
      </c>
      <c r="H79" s="314">
        <f t="shared" si="5"/>
        <v>0</v>
      </c>
      <c r="I79" s="314">
        <f t="shared" si="5"/>
        <v>0</v>
      </c>
    </row>
    <row r="80" spans="2:9" s="267" customFormat="1" ht="16.5" customHeight="1">
      <c r="B80" s="315"/>
      <c r="C80" s="315" t="s">
        <v>644</v>
      </c>
      <c r="D80" s="314">
        <v>0.27500000000000002</v>
      </c>
      <c r="E80" s="314"/>
      <c r="F80" s="290"/>
      <c r="G80" s="290">
        <v>0.24199999999999999</v>
      </c>
      <c r="H80" s="290">
        <f>H28*1.1</f>
        <v>0.24200000000000002</v>
      </c>
      <c r="I80" s="290">
        <f>I28*1.1</f>
        <v>0.22000000000000003</v>
      </c>
    </row>
    <row r="81" spans="2:10" s="267" customFormat="1" ht="16.5" customHeight="1">
      <c r="B81" s="315"/>
      <c r="C81" s="315" t="s">
        <v>14</v>
      </c>
      <c r="D81" s="314">
        <f>ROUND(D79*D80,0)</f>
        <v>0</v>
      </c>
      <c r="E81" s="314"/>
      <c r="F81" s="290"/>
      <c r="G81" s="314">
        <f>SUM(H81:I81)</f>
        <v>0</v>
      </c>
      <c r="H81" s="314">
        <f>ROUNDDOWN(H79*H80,0)</f>
        <v>0</v>
      </c>
      <c r="I81" s="314">
        <f>ROUNDDOWN(I79*I80,0)</f>
        <v>0</v>
      </c>
    </row>
    <row r="82" spans="2:10" s="267" customFormat="1" ht="16.5" customHeight="1">
      <c r="B82" s="315"/>
      <c r="C82" s="315" t="s">
        <v>645</v>
      </c>
      <c r="D82" s="314">
        <f>-ROUND(SUM(D68:D70)*D80,0)</f>
        <v>0</v>
      </c>
      <c r="E82" s="314"/>
      <c r="F82" s="290"/>
      <c r="G82" s="314">
        <f>SUM(H82:I82)</f>
        <v>0</v>
      </c>
      <c r="H82" s="314">
        <f>-ROUND(SUM(H68:H70)*H80,0)</f>
        <v>0</v>
      </c>
      <c r="I82" s="314">
        <f>-ROUND(SUM(I69,I64)*I80,0)</f>
        <v>0</v>
      </c>
    </row>
    <row r="83" spans="2:10" s="267" customFormat="1" ht="16.5" customHeight="1">
      <c r="B83" s="315"/>
      <c r="C83" s="315" t="s">
        <v>646</v>
      </c>
      <c r="D83" s="314"/>
      <c r="E83" s="314"/>
      <c r="F83" s="290"/>
      <c r="G83" s="314">
        <f>SUM(H83:I83)</f>
        <v>0</v>
      </c>
      <c r="H83" s="314">
        <f>H81+H82</f>
        <v>0</v>
      </c>
      <c r="I83" s="314"/>
    </row>
    <row r="84" spans="2:10" s="267" customFormat="1" ht="16.5" customHeight="1">
      <c r="B84" s="315"/>
      <c r="C84" s="315" t="s">
        <v>647</v>
      </c>
      <c r="D84" s="314">
        <v>261189174</v>
      </c>
      <c r="E84" s="314"/>
      <c r="F84" s="290"/>
      <c r="G84" s="314">
        <f>SUM(H84:I84)</f>
        <v>0</v>
      </c>
      <c r="H84" s="314"/>
      <c r="I84" s="314">
        <f>I81+I82</f>
        <v>0</v>
      </c>
    </row>
    <row r="85" spans="2:10" s="267" customFormat="1" ht="16.5" customHeight="1">
      <c r="C85" s="279"/>
      <c r="D85" s="279"/>
      <c r="E85" s="279"/>
      <c r="F85" s="279"/>
      <c r="G85" s="279"/>
      <c r="H85" s="279"/>
      <c r="I85" s="279"/>
    </row>
    <row r="86" spans="2:10" s="267" customFormat="1" ht="16.5" customHeight="1">
      <c r="C86" s="280"/>
      <c r="D86" s="279"/>
      <c r="E86" s="279"/>
      <c r="F86" s="279"/>
      <c r="G86" s="279"/>
      <c r="H86" s="279"/>
      <c r="I86" s="279"/>
    </row>
    <row r="87" spans="2:10" s="267" customFormat="1" ht="16.5" customHeight="1">
      <c r="C87" s="279"/>
      <c r="D87" s="279"/>
      <c r="E87" s="279"/>
      <c r="F87" s="279"/>
      <c r="G87" s="279"/>
      <c r="H87" s="279"/>
      <c r="I87" s="279"/>
    </row>
    <row r="88" spans="2:10" s="267" customFormat="1" ht="16.5" customHeight="1">
      <c r="C88" s="499" t="s">
        <v>636</v>
      </c>
      <c r="D88" s="287" t="s">
        <v>648</v>
      </c>
      <c r="E88" s="282"/>
      <c r="F88" s="279"/>
      <c r="G88" s="279"/>
      <c r="H88" s="279"/>
      <c r="I88" s="279"/>
    </row>
    <row r="89" spans="2:10" s="267" customFormat="1" ht="16.5" customHeight="1">
      <c r="C89" s="270" t="s">
        <v>649</v>
      </c>
      <c r="D89" s="283">
        <f>H17+H24</f>
        <v>0</v>
      </c>
      <c r="E89" s="282"/>
      <c r="F89" s="279"/>
      <c r="G89" s="279"/>
      <c r="H89" s="279"/>
      <c r="I89" s="279"/>
    </row>
    <row r="90" spans="2:10" s="267" customFormat="1" ht="16.5" customHeight="1">
      <c r="C90" s="270" t="s">
        <v>650</v>
      </c>
      <c r="D90" s="283">
        <f>-D100</f>
        <v>261189174</v>
      </c>
      <c r="E90" s="282"/>
      <c r="F90" s="279"/>
      <c r="G90" s="279"/>
      <c r="H90" s="279"/>
      <c r="I90" s="279"/>
    </row>
    <row r="91" spans="2:10" s="267" customFormat="1" ht="16.5" customHeight="1">
      <c r="C91" s="270" t="s">
        <v>651</v>
      </c>
      <c r="D91" s="283">
        <f>-SUM(H82:I82)</f>
        <v>0</v>
      </c>
      <c r="E91" s="282"/>
      <c r="F91" s="279"/>
      <c r="G91" s="279"/>
      <c r="H91" s="279"/>
      <c r="I91" s="279"/>
    </row>
    <row r="92" spans="2:10" s="267" customFormat="1" ht="16.5" customHeight="1">
      <c r="C92" s="270" t="s">
        <v>652</v>
      </c>
      <c r="D92" s="283">
        <f>-F107</f>
        <v>-137638790</v>
      </c>
      <c r="E92" s="282"/>
      <c r="F92" s="279"/>
      <c r="G92" s="279"/>
      <c r="H92" s="279"/>
      <c r="I92" s="279"/>
    </row>
    <row r="93" spans="2:10" s="267" customFormat="1" ht="16.5" customHeight="1">
      <c r="C93" s="270" t="s">
        <v>653</v>
      </c>
      <c r="D93" s="283">
        <v>137638800</v>
      </c>
      <c r="E93" s="282"/>
      <c r="F93" s="279"/>
      <c r="G93" s="279"/>
      <c r="H93" s="279"/>
      <c r="I93" s="279"/>
    </row>
    <row r="94" spans="2:10" s="267" customFormat="1" ht="16.5" customHeight="1">
      <c r="C94" s="284" t="s">
        <v>654</v>
      </c>
      <c r="D94" s="283">
        <f>SUM(D89:D93)</f>
        <v>261189184</v>
      </c>
      <c r="E94" s="282"/>
      <c r="F94" s="279"/>
      <c r="G94" s="279"/>
      <c r="H94" s="283"/>
      <c r="I94" s="283"/>
      <c r="J94" s="455"/>
    </row>
    <row r="95" spans="2:10" s="267" customFormat="1" ht="16.5" customHeight="1">
      <c r="C95" s="280"/>
      <c r="D95" s="282"/>
      <c r="E95" s="282"/>
      <c r="F95" s="279"/>
      <c r="G95" s="279"/>
      <c r="H95" s="279"/>
      <c r="I95" s="279"/>
    </row>
    <row r="96" spans="2:10" ht="16.5" customHeight="1">
      <c r="B96" s="267" t="s">
        <v>655</v>
      </c>
      <c r="C96" s="280" t="s">
        <v>656</v>
      </c>
      <c r="D96" s="283"/>
      <c r="E96" s="283"/>
      <c r="F96" s="283"/>
      <c r="G96" s="283"/>
      <c r="H96" s="283"/>
      <c r="I96" s="270"/>
    </row>
    <row r="97" spans="1:9" ht="16.5" customHeight="1">
      <c r="B97" s="285"/>
      <c r="C97" s="499" t="s">
        <v>636</v>
      </c>
      <c r="D97" s="287" t="s">
        <v>648</v>
      </c>
      <c r="E97" s="281"/>
      <c r="F97" s="281"/>
      <c r="G97" s="283"/>
      <c r="H97" s="283"/>
      <c r="I97" s="270"/>
    </row>
    <row r="98" spans="1:9" ht="16.5" customHeight="1">
      <c r="C98" s="270" t="s">
        <v>657</v>
      </c>
      <c r="D98" s="283">
        <f>G81</f>
        <v>0</v>
      </c>
      <c r="E98" s="283"/>
      <c r="F98" s="270"/>
      <c r="G98" s="270"/>
      <c r="H98" s="283"/>
      <c r="I98" s="270"/>
    </row>
    <row r="99" spans="1:9" ht="16.5" customHeight="1">
      <c r="C99" s="270" t="s">
        <v>658</v>
      </c>
      <c r="D99" s="283">
        <f>D83+D84</f>
        <v>261189174</v>
      </c>
      <c r="E99" s="283"/>
      <c r="F99" s="270"/>
      <c r="G99" s="283"/>
      <c r="H99" s="283"/>
      <c r="I99" s="270"/>
    </row>
    <row r="100" spans="1:9" ht="16.5" customHeight="1">
      <c r="C100" s="284" t="s">
        <v>659</v>
      </c>
      <c r="D100" s="283">
        <f>D98-D99</f>
        <v>-261189174</v>
      </c>
      <c r="E100" s="283"/>
      <c r="F100" s="270"/>
      <c r="G100" s="270"/>
      <c r="H100" s="270"/>
      <c r="I100" s="270"/>
    </row>
    <row r="101" spans="1:9" ht="16.5" customHeight="1">
      <c r="C101" s="270"/>
      <c r="D101" s="270"/>
      <c r="E101" s="270"/>
      <c r="F101" s="270"/>
      <c r="G101" s="270"/>
      <c r="H101" s="270"/>
      <c r="I101" s="270"/>
    </row>
    <row r="102" spans="1:9" ht="16.5" customHeight="1">
      <c r="B102" s="269"/>
      <c r="C102" s="286" t="s">
        <v>660</v>
      </c>
      <c r="D102" s="287"/>
      <c r="E102" s="287"/>
      <c r="F102" s="287"/>
      <c r="G102" s="288"/>
      <c r="H102" s="288"/>
      <c r="I102" s="270"/>
    </row>
    <row r="103" spans="1:9" ht="16.5" customHeight="1">
      <c r="B103" s="269"/>
      <c r="C103" s="288" t="s">
        <v>661</v>
      </c>
      <c r="D103" s="288">
        <f>G83</f>
        <v>0</v>
      </c>
      <c r="E103" s="288" t="s">
        <v>662</v>
      </c>
      <c r="F103" s="288">
        <f>SUM(D103:D105)-F104</f>
        <v>-261189174</v>
      </c>
      <c r="G103" s="288"/>
      <c r="H103" s="288"/>
      <c r="I103" s="270"/>
    </row>
    <row r="104" spans="1:9" ht="16.5" customHeight="1">
      <c r="B104" s="269"/>
      <c r="C104" s="288" t="s">
        <v>663</v>
      </c>
      <c r="D104" s="288">
        <f>-D84</f>
        <v>-261189174</v>
      </c>
      <c r="E104" s="288" t="s">
        <v>664</v>
      </c>
      <c r="F104" s="288">
        <f>-G84</f>
        <v>0</v>
      </c>
      <c r="G104" s="288"/>
      <c r="H104" s="288"/>
      <c r="I104" s="270"/>
    </row>
    <row r="105" spans="1:9" ht="16.5" customHeight="1">
      <c r="B105" s="269"/>
      <c r="C105" s="288" t="s">
        <v>665</v>
      </c>
      <c r="D105" s="288">
        <f>-D83</f>
        <v>0</v>
      </c>
      <c r="E105" s="288"/>
      <c r="F105" s="288"/>
      <c r="G105" s="288"/>
      <c r="H105" s="288"/>
      <c r="I105" s="270"/>
    </row>
    <row r="106" spans="1:9" ht="16.5" customHeight="1">
      <c r="B106" s="269"/>
      <c r="C106" s="288"/>
      <c r="D106" s="288"/>
      <c r="E106" s="288"/>
      <c r="F106" s="288"/>
      <c r="G106" s="288"/>
      <c r="H106" s="288"/>
      <c r="I106" s="270"/>
    </row>
    <row r="107" spans="1:9" ht="16.5" customHeight="1">
      <c r="B107" s="269"/>
      <c r="C107" s="288" t="s">
        <v>666</v>
      </c>
      <c r="D107" s="288">
        <v>125126180</v>
      </c>
      <c r="E107" s="288" t="s">
        <v>662</v>
      </c>
      <c r="F107" s="288">
        <f>SUM(D107:D108)</f>
        <v>137638790</v>
      </c>
      <c r="G107" s="288"/>
      <c r="H107" s="288"/>
      <c r="I107" s="270"/>
    </row>
    <row r="108" spans="1:9" ht="16.5" customHeight="1">
      <c r="B108" s="269"/>
      <c r="C108" s="288"/>
      <c r="D108" s="288">
        <v>12512610</v>
      </c>
      <c r="E108" s="288"/>
      <c r="F108" s="288"/>
      <c r="G108" s="288"/>
      <c r="H108" s="288"/>
      <c r="I108" s="270"/>
    </row>
    <row r="109" spans="1:9" ht="16.5" customHeight="1">
      <c r="B109" s="269"/>
      <c r="C109" s="288"/>
      <c r="D109" s="288"/>
      <c r="E109" s="288"/>
      <c r="F109" s="288"/>
      <c r="G109" s="288"/>
      <c r="H109" s="288"/>
      <c r="I109" s="270"/>
    </row>
    <row r="110" spans="1:9" ht="16.5" customHeight="1">
      <c r="A110" s="222" t="s">
        <v>124</v>
      </c>
      <c r="B110" s="269"/>
      <c r="C110" s="288"/>
      <c r="D110" s="288"/>
      <c r="E110" s="288"/>
      <c r="F110" s="288"/>
      <c r="G110" s="288"/>
      <c r="H110" s="288"/>
      <c r="I110" s="270"/>
    </row>
    <row r="111" spans="1:9" ht="16.5" customHeight="1">
      <c r="B111" s="269"/>
      <c r="C111" s="289" t="s">
        <v>667</v>
      </c>
      <c r="D111" s="288"/>
      <c r="E111" s="288"/>
      <c r="F111" s="288"/>
      <c r="G111" s="288"/>
      <c r="H111" s="288"/>
      <c r="I111" s="270"/>
    </row>
    <row r="112" spans="1:9" ht="16.5" customHeight="1">
      <c r="B112" s="269"/>
      <c r="C112" s="291" t="s">
        <v>668</v>
      </c>
      <c r="D112" s="498" t="s">
        <v>669</v>
      </c>
      <c r="E112" s="498"/>
      <c r="F112" s="498" t="s">
        <v>670</v>
      </c>
      <c r="G112" s="498"/>
      <c r="H112" s="288"/>
      <c r="I112" s="270"/>
    </row>
    <row r="113" spans="2:9" ht="16.5" customHeight="1">
      <c r="B113" s="269"/>
      <c r="C113" s="290" t="s">
        <v>671</v>
      </c>
      <c r="D113" s="290"/>
      <c r="E113" s="290">
        <f>H11</f>
        <v>-268590723</v>
      </c>
      <c r="F113" s="290"/>
      <c r="G113" s="290">
        <v>335483</v>
      </c>
      <c r="H113" s="288"/>
      <c r="I113" s="270"/>
    </row>
    <row r="114" spans="2:9" ht="16.5" customHeight="1">
      <c r="B114" s="269"/>
      <c r="C114" s="290" t="s">
        <v>672</v>
      </c>
      <c r="D114" s="290"/>
      <c r="E114" s="290"/>
      <c r="F114" s="290"/>
      <c r="G114" s="290"/>
      <c r="H114" s="288"/>
      <c r="I114" s="270"/>
    </row>
    <row r="115" spans="2:9" ht="16.5" customHeight="1">
      <c r="B115" s="269"/>
      <c r="C115" s="290" t="s">
        <v>673</v>
      </c>
      <c r="D115" s="290"/>
      <c r="E115" s="290">
        <f>SUM(D116:D123)</f>
        <v>0</v>
      </c>
      <c r="F115" s="290"/>
      <c r="G115" s="290">
        <v>26801</v>
      </c>
      <c r="H115" s="288" t="b">
        <f>E115=E28</f>
        <v>1</v>
      </c>
      <c r="I115" s="270"/>
    </row>
    <row r="116" spans="2:9" ht="16.5" customHeight="1">
      <c r="B116" s="269"/>
      <c r="C116" s="290" t="s">
        <v>674</v>
      </c>
      <c r="D116" s="290">
        <f>E13</f>
        <v>0</v>
      </c>
      <c r="E116" s="290"/>
      <c r="F116" s="290">
        <v>1900</v>
      </c>
      <c r="G116" s="290"/>
      <c r="H116" s="288"/>
      <c r="I116" s="270"/>
    </row>
    <row r="117" spans="2:9" ht="16.5" customHeight="1">
      <c r="B117" s="269"/>
      <c r="C117" s="290" t="s">
        <v>675</v>
      </c>
      <c r="D117" s="290">
        <v>0</v>
      </c>
      <c r="E117" s="290"/>
      <c r="F117" s="290">
        <v>15231</v>
      </c>
      <c r="G117" s="290"/>
      <c r="H117" s="288"/>
      <c r="I117" s="270"/>
    </row>
    <row r="118" spans="2:9" ht="16.5" customHeight="1">
      <c r="B118" s="269"/>
      <c r="C118" s="290" t="s">
        <v>8</v>
      </c>
      <c r="D118" s="290">
        <f>E20</f>
        <v>0</v>
      </c>
      <c r="E118" s="290"/>
      <c r="F118" s="290">
        <v>8459</v>
      </c>
      <c r="G118" s="290"/>
      <c r="H118" s="288"/>
      <c r="I118" s="270"/>
    </row>
    <row r="119" spans="2:9" ht="16.5" customHeight="1">
      <c r="B119" s="269"/>
      <c r="C119" s="290" t="str">
        <f>C16</f>
        <v>대손충당금</v>
      </c>
      <c r="D119" s="290">
        <f>E16</f>
        <v>0</v>
      </c>
      <c r="E119" s="290"/>
      <c r="F119" s="290">
        <v>0</v>
      </c>
      <c r="G119" s="290"/>
      <c r="H119" s="288"/>
      <c r="I119" s="270"/>
    </row>
    <row r="120" spans="2:9" ht="16.5" customHeight="1">
      <c r="B120" s="269"/>
      <c r="C120" s="290" t="str">
        <f t="shared" ref="C120:C121" si="6">C17</f>
        <v>미수수익</v>
      </c>
      <c r="D120" s="290">
        <f t="shared" ref="D120:D121" si="7">E17</f>
        <v>0</v>
      </c>
      <c r="E120" s="290"/>
      <c r="F120" s="290">
        <v>0</v>
      </c>
      <c r="G120" s="290"/>
      <c r="H120" s="288"/>
      <c r="I120" s="270"/>
    </row>
    <row r="121" spans="2:9" ht="16.5" customHeight="1">
      <c r="B121" s="269"/>
      <c r="C121" s="290" t="str">
        <f t="shared" si="6"/>
        <v>하자보수충당부채</v>
      </c>
      <c r="D121" s="290">
        <f t="shared" si="7"/>
        <v>0</v>
      </c>
      <c r="E121" s="290"/>
      <c r="F121" s="290">
        <v>0</v>
      </c>
      <c r="G121" s="290"/>
      <c r="H121" s="288"/>
      <c r="I121" s="270"/>
    </row>
    <row r="122" spans="2:9" ht="16.5" customHeight="1">
      <c r="B122" s="269"/>
      <c r="C122" s="290">
        <f>C25</f>
        <v>0</v>
      </c>
      <c r="D122" s="290">
        <f>E25+E26</f>
        <v>0</v>
      </c>
      <c r="E122" s="290"/>
      <c r="F122" s="290">
        <v>0</v>
      </c>
      <c r="G122" s="290"/>
      <c r="H122" s="288"/>
      <c r="I122" s="270"/>
    </row>
    <row r="123" spans="2:9" ht="16.5" customHeight="1">
      <c r="B123" s="269"/>
      <c r="C123" s="290" t="s">
        <v>676</v>
      </c>
      <c r="D123" s="290">
        <f>E21+E22+E27</f>
        <v>0</v>
      </c>
      <c r="E123" s="290"/>
      <c r="F123" s="290">
        <v>1211</v>
      </c>
      <c r="G123" s="290"/>
      <c r="H123" s="288"/>
      <c r="I123" s="270"/>
    </row>
    <row r="124" spans="2:9" ht="16.5" customHeight="1">
      <c r="B124" s="269"/>
      <c r="C124" s="290" t="s">
        <v>677</v>
      </c>
      <c r="D124" s="290"/>
      <c r="E124" s="290">
        <f>SUM(D125:D126)</f>
        <v>0</v>
      </c>
      <c r="F124" s="290"/>
      <c r="G124" s="290">
        <v>6007</v>
      </c>
      <c r="H124" s="288"/>
      <c r="I124" s="270"/>
    </row>
    <row r="125" spans="2:9" ht="16.5" customHeight="1">
      <c r="B125" s="269"/>
      <c r="C125" s="290" t="s">
        <v>142</v>
      </c>
      <c r="D125" s="290">
        <v>0</v>
      </c>
      <c r="E125" s="290"/>
      <c r="F125" s="290">
        <v>2947</v>
      </c>
      <c r="G125" s="290"/>
      <c r="H125" s="288"/>
      <c r="I125" s="270"/>
    </row>
    <row r="126" spans="2:9" ht="16.5" customHeight="1">
      <c r="B126" s="269"/>
      <c r="C126" s="290" t="s">
        <v>678</v>
      </c>
      <c r="D126" s="290">
        <v>0</v>
      </c>
      <c r="E126" s="290"/>
      <c r="F126" s="290">
        <v>3060</v>
      </c>
      <c r="G126" s="290"/>
      <c r="H126" s="288"/>
      <c r="I126" s="270"/>
    </row>
    <row r="127" spans="2:9" ht="16.5" customHeight="1">
      <c r="B127" s="269"/>
      <c r="C127" s="290" t="s">
        <v>679</v>
      </c>
      <c r="D127" s="290"/>
      <c r="E127" s="290"/>
      <c r="F127" s="290"/>
      <c r="G127" s="290"/>
      <c r="H127" s="288"/>
      <c r="I127" s="270"/>
    </row>
    <row r="128" spans="2:9" ht="16.5" customHeight="1">
      <c r="B128" s="269"/>
      <c r="C128" s="290" t="s">
        <v>680</v>
      </c>
      <c r="D128" s="290"/>
      <c r="E128" s="290">
        <f>SUM(D129:D138)</f>
        <v>0</v>
      </c>
      <c r="F128" s="290"/>
      <c r="G128" s="290">
        <v>504617</v>
      </c>
      <c r="H128" s="288" t="b">
        <f>E128=D28</f>
        <v>1</v>
      </c>
      <c r="I128" s="270"/>
    </row>
    <row r="129" spans="2:9" ht="16.5" customHeight="1">
      <c r="B129" s="269"/>
      <c r="C129" s="290" t="s">
        <v>681</v>
      </c>
      <c r="D129" s="290">
        <f>D14</f>
        <v>0</v>
      </c>
      <c r="E129" s="290"/>
      <c r="F129" s="290">
        <v>314814</v>
      </c>
      <c r="G129" s="290"/>
      <c r="H129" s="288"/>
      <c r="I129" s="270"/>
    </row>
    <row r="130" spans="2:9" ht="16.5" customHeight="1">
      <c r="B130" s="269"/>
      <c r="C130" s="290" t="s">
        <v>140</v>
      </c>
      <c r="D130" s="290">
        <f>D12</f>
        <v>0</v>
      </c>
      <c r="E130" s="290"/>
      <c r="F130" s="290">
        <v>10938</v>
      </c>
      <c r="G130" s="290"/>
      <c r="H130" s="288"/>
      <c r="I130" s="270"/>
    </row>
    <row r="131" spans="2:9" ht="16.5" customHeight="1">
      <c r="B131" s="269"/>
      <c r="C131" s="290" t="s">
        <v>682</v>
      </c>
      <c r="D131" s="290">
        <f>D11</f>
        <v>0</v>
      </c>
      <c r="E131" s="290"/>
      <c r="F131" s="290">
        <v>33038</v>
      </c>
      <c r="G131" s="290"/>
      <c r="H131" s="288"/>
      <c r="I131" s="270"/>
    </row>
    <row r="132" spans="2:9" ht="16.5" customHeight="1">
      <c r="B132" s="269"/>
      <c r="C132" s="290" t="s">
        <v>641</v>
      </c>
      <c r="D132" s="290">
        <f>D15</f>
        <v>0</v>
      </c>
      <c r="E132" s="290"/>
      <c r="F132" s="290">
        <v>0</v>
      </c>
      <c r="G132" s="290"/>
      <c r="H132" s="288"/>
      <c r="I132" s="270"/>
    </row>
    <row r="133" spans="2:9" ht="16.5" customHeight="1">
      <c r="B133" s="269"/>
      <c r="C133" s="290">
        <f>C23</f>
        <v>0</v>
      </c>
      <c r="D133" s="290">
        <f>D23</f>
        <v>0</v>
      </c>
      <c r="E133" s="290"/>
      <c r="F133" s="290">
        <v>0</v>
      </c>
      <c r="G133" s="290"/>
      <c r="H133" s="288"/>
      <c r="I133" s="270"/>
    </row>
    <row r="134" spans="2:9" ht="16.5" customHeight="1">
      <c r="B134" s="269"/>
      <c r="C134" s="290">
        <f>C24</f>
        <v>0</v>
      </c>
      <c r="D134" s="290">
        <f>D24</f>
        <v>0</v>
      </c>
      <c r="E134" s="290"/>
      <c r="F134" s="290">
        <v>0</v>
      </c>
      <c r="G134" s="290"/>
      <c r="H134" s="288"/>
      <c r="I134" s="270"/>
    </row>
    <row r="135" spans="2:9" ht="16.5" customHeight="1">
      <c r="B135" s="269"/>
      <c r="C135" s="290">
        <f>C44</f>
        <v>0</v>
      </c>
      <c r="D135" s="290">
        <f>D26</f>
        <v>0</v>
      </c>
      <c r="E135" s="290"/>
      <c r="F135" s="290">
        <v>0</v>
      </c>
      <c r="G135" s="290"/>
      <c r="H135" s="288"/>
      <c r="I135" s="270"/>
    </row>
    <row r="136" spans="2:9" ht="16.5" customHeight="1">
      <c r="B136" s="269"/>
      <c r="C136" s="290" t="s">
        <v>19</v>
      </c>
      <c r="D136" s="290">
        <v>0</v>
      </c>
      <c r="E136" s="290"/>
      <c r="F136" s="290">
        <v>100762</v>
      </c>
      <c r="G136" s="290"/>
      <c r="H136" s="288"/>
      <c r="I136" s="270"/>
    </row>
    <row r="137" spans="2:9" ht="16.5" customHeight="1">
      <c r="B137" s="269"/>
      <c r="C137" s="290" t="s">
        <v>142</v>
      </c>
      <c r="D137" s="290">
        <v>0</v>
      </c>
      <c r="E137" s="290"/>
      <c r="F137" s="290">
        <v>2947</v>
      </c>
      <c r="G137" s="290"/>
      <c r="H137" s="288"/>
      <c r="I137" s="270"/>
    </row>
    <row r="138" spans="2:9" ht="16.5" customHeight="1">
      <c r="B138" s="269"/>
      <c r="C138" s="290" t="s">
        <v>683</v>
      </c>
      <c r="D138" s="290">
        <f>D19</f>
        <v>0</v>
      </c>
      <c r="E138" s="290"/>
      <c r="F138" s="290">
        <v>42118</v>
      </c>
      <c r="G138" s="290"/>
      <c r="H138" s="288"/>
      <c r="I138" s="270"/>
    </row>
    <row r="139" spans="2:9" ht="16.5" customHeight="1">
      <c r="B139" s="269"/>
      <c r="C139" s="290" t="s">
        <v>684</v>
      </c>
      <c r="D139" s="290"/>
      <c r="E139" s="290">
        <f>SUM(D140:D147)</f>
        <v>0</v>
      </c>
      <c r="F139" s="290"/>
      <c r="G139" s="290">
        <v>113438</v>
      </c>
      <c r="H139" s="288"/>
      <c r="I139" s="270"/>
    </row>
    <row r="140" spans="2:9" ht="16.5" customHeight="1">
      <c r="B140" s="269"/>
      <c r="C140" s="290" t="s">
        <v>685</v>
      </c>
      <c r="D140" s="290">
        <f>D34</f>
        <v>0</v>
      </c>
      <c r="E140" s="290"/>
      <c r="F140" s="290">
        <v>5941</v>
      </c>
      <c r="G140" s="290"/>
      <c r="H140" s="288"/>
      <c r="I140" s="270"/>
    </row>
    <row r="141" spans="2:9" ht="16.5" customHeight="1">
      <c r="B141" s="269"/>
      <c r="C141" s="290" t="str">
        <f>C35</f>
        <v>퇴직보험료</v>
      </c>
      <c r="D141" s="290">
        <f>D35</f>
        <v>0</v>
      </c>
      <c r="E141" s="290"/>
      <c r="F141" s="290">
        <v>0</v>
      </c>
      <c r="G141" s="290"/>
      <c r="H141" s="288"/>
      <c r="I141" s="270"/>
    </row>
    <row r="142" spans="2:9" ht="16.5" customHeight="1">
      <c r="B142" s="269"/>
      <c r="C142" s="290">
        <f>C44</f>
        <v>0</v>
      </c>
      <c r="D142" s="290">
        <f>D44</f>
        <v>0</v>
      </c>
      <c r="E142" s="290"/>
      <c r="F142" s="290">
        <v>0</v>
      </c>
      <c r="G142" s="290"/>
      <c r="H142" s="288"/>
      <c r="I142" s="270"/>
    </row>
    <row r="143" spans="2:9" ht="16.5" customHeight="1">
      <c r="B143" s="269"/>
      <c r="C143" s="290">
        <f t="shared" ref="C143:D145" si="8">C45</f>
        <v>0</v>
      </c>
      <c r="D143" s="290">
        <f t="shared" si="8"/>
        <v>0</v>
      </c>
      <c r="E143" s="290"/>
      <c r="F143" s="290">
        <v>0</v>
      </c>
      <c r="G143" s="290"/>
      <c r="H143" s="288"/>
      <c r="I143" s="270"/>
    </row>
    <row r="144" spans="2:9" ht="16.5" customHeight="1">
      <c r="B144" s="269"/>
      <c r="C144" s="290">
        <f t="shared" si="8"/>
        <v>0</v>
      </c>
      <c r="D144" s="290">
        <f t="shared" si="8"/>
        <v>0</v>
      </c>
      <c r="E144" s="290"/>
      <c r="F144" s="290">
        <v>0</v>
      </c>
      <c r="G144" s="290"/>
      <c r="H144" s="288"/>
      <c r="I144" s="270"/>
    </row>
    <row r="145" spans="2:9" ht="16.5" customHeight="1">
      <c r="B145" s="269"/>
      <c r="C145" s="290">
        <f t="shared" si="8"/>
        <v>0</v>
      </c>
      <c r="D145" s="290">
        <f t="shared" si="8"/>
        <v>0</v>
      </c>
      <c r="E145" s="290"/>
      <c r="F145" s="290">
        <v>0</v>
      </c>
      <c r="G145" s="290"/>
      <c r="H145" s="288"/>
      <c r="I145" s="270"/>
    </row>
    <row r="146" spans="2:9" ht="16.5" customHeight="1">
      <c r="B146" s="269"/>
      <c r="C146" s="290" t="s">
        <v>681</v>
      </c>
      <c r="D146" s="290">
        <f>D36</f>
        <v>0</v>
      </c>
      <c r="E146" s="290"/>
      <c r="F146" s="290">
        <v>100762</v>
      </c>
      <c r="G146" s="290"/>
      <c r="H146" s="288"/>
      <c r="I146" s="270"/>
    </row>
    <row r="147" spans="2:9" ht="16.5" customHeight="1">
      <c r="B147" s="269"/>
      <c r="C147" s="290" t="s">
        <v>19</v>
      </c>
      <c r="D147" s="290">
        <f>D43</f>
        <v>0</v>
      </c>
      <c r="E147" s="291"/>
      <c r="F147" s="290">
        <v>6735</v>
      </c>
      <c r="G147" s="290"/>
      <c r="H147" s="288"/>
      <c r="I147" s="270"/>
    </row>
    <row r="148" spans="2:9" ht="16.5" customHeight="1">
      <c r="B148" s="269"/>
      <c r="C148" s="290" t="s">
        <v>686</v>
      </c>
      <c r="D148" s="290"/>
      <c r="E148" s="290">
        <f>SUM(E113,E115,-E124,E128,-E139)</f>
        <v>-268590723</v>
      </c>
      <c r="F148" s="290"/>
      <c r="G148" s="290">
        <v>747456</v>
      </c>
      <c r="H148" s="288"/>
      <c r="I148" s="270"/>
    </row>
    <row r="149" spans="2:9" ht="16.5" customHeight="1">
      <c r="B149" s="269"/>
      <c r="C149" s="288"/>
      <c r="D149" s="288"/>
      <c r="E149" s="288" t="b">
        <f>E148=H16</f>
        <v>1</v>
      </c>
      <c r="F149" s="288"/>
      <c r="G149" s="288"/>
      <c r="H149" s="288"/>
      <c r="I149" s="270"/>
    </row>
    <row r="150" spans="2:9" ht="16.5" customHeight="1">
      <c r="B150" s="269"/>
      <c r="C150" s="288" t="s">
        <v>687</v>
      </c>
      <c r="D150" s="288"/>
      <c r="E150" s="288"/>
      <c r="F150" s="288"/>
      <c r="G150" s="288"/>
      <c r="H150" s="288"/>
      <c r="I150" s="270"/>
    </row>
    <row r="151" spans="2:9" ht="16.5" customHeight="1">
      <c r="B151" s="269"/>
      <c r="C151" s="291" t="s">
        <v>688</v>
      </c>
      <c r="D151" s="291" t="s">
        <v>689</v>
      </c>
      <c r="E151" s="291" t="s">
        <v>690</v>
      </c>
      <c r="F151" s="291" t="s">
        <v>691</v>
      </c>
      <c r="G151" s="291" t="s">
        <v>692</v>
      </c>
      <c r="H151" s="288"/>
      <c r="I151" s="270"/>
    </row>
    <row r="152" spans="2:9" ht="16.5" customHeight="1">
      <c r="B152" s="269"/>
      <c r="C152" s="290" t="s">
        <v>11</v>
      </c>
      <c r="D152" s="290">
        <f>D59</f>
        <v>0</v>
      </c>
      <c r="E152" s="290">
        <f t="shared" ref="E152:G152" si="9">E59</f>
        <v>0</v>
      </c>
      <c r="F152" s="290">
        <f t="shared" si="9"/>
        <v>0</v>
      </c>
      <c r="G152" s="290">
        <f t="shared" si="9"/>
        <v>0</v>
      </c>
      <c r="H152" s="288"/>
      <c r="I152" s="270"/>
    </row>
    <row r="153" spans="2:9" ht="16.5" customHeight="1">
      <c r="C153" s="290" t="s">
        <v>693</v>
      </c>
      <c r="D153" s="290">
        <f>D66</f>
        <v>0</v>
      </c>
      <c r="E153" s="290">
        <f t="shared" ref="E153:G153" si="10">E66</f>
        <v>0</v>
      </c>
      <c r="F153" s="290">
        <f t="shared" si="10"/>
        <v>0</v>
      </c>
      <c r="G153" s="290">
        <f t="shared" si="10"/>
        <v>0</v>
      </c>
      <c r="H153" s="270"/>
      <c r="I153" s="270"/>
    </row>
    <row r="154" spans="2:9" ht="16.5" customHeight="1">
      <c r="C154" s="290" t="s">
        <v>140</v>
      </c>
      <c r="D154" s="290">
        <f>D60</f>
        <v>0</v>
      </c>
      <c r="E154" s="290">
        <f t="shared" ref="E154:G155" si="11">E60</f>
        <v>0</v>
      </c>
      <c r="F154" s="290">
        <f t="shared" si="11"/>
        <v>0</v>
      </c>
      <c r="G154" s="290">
        <f t="shared" si="11"/>
        <v>0</v>
      </c>
      <c r="H154" s="270"/>
      <c r="I154" s="270"/>
    </row>
    <row r="155" spans="2:9" ht="16.5" customHeight="1">
      <c r="C155" s="290" t="s">
        <v>681</v>
      </c>
      <c r="D155" s="290">
        <f>D61</f>
        <v>0</v>
      </c>
      <c r="E155" s="290">
        <f t="shared" si="11"/>
        <v>0</v>
      </c>
      <c r="F155" s="290">
        <f t="shared" si="11"/>
        <v>0</v>
      </c>
      <c r="G155" s="290">
        <f t="shared" si="11"/>
        <v>0</v>
      </c>
      <c r="H155" s="270"/>
      <c r="I155" s="270"/>
    </row>
    <row r="156" spans="2:9" ht="16.5" customHeight="1">
      <c r="C156" s="290" t="s">
        <v>683</v>
      </c>
      <c r="D156" s="290">
        <f>D63</f>
        <v>0</v>
      </c>
      <c r="E156" s="290">
        <f t="shared" ref="E156:G156" si="12">E63</f>
        <v>0</v>
      </c>
      <c r="F156" s="290">
        <f t="shared" si="12"/>
        <v>0</v>
      </c>
      <c r="G156" s="290">
        <f t="shared" si="12"/>
        <v>0</v>
      </c>
      <c r="H156" s="270"/>
      <c r="I156" s="270"/>
    </row>
    <row r="157" spans="2:9" ht="16.5" customHeight="1">
      <c r="C157" s="290" t="s">
        <v>10</v>
      </c>
      <c r="D157" s="290">
        <f>D71</f>
        <v>0</v>
      </c>
      <c r="E157" s="290">
        <f t="shared" ref="E157:G157" si="13">E71</f>
        <v>0</v>
      </c>
      <c r="F157" s="290">
        <f t="shared" si="13"/>
        <v>0</v>
      </c>
      <c r="G157" s="290">
        <f t="shared" si="13"/>
        <v>0</v>
      </c>
      <c r="H157" s="270"/>
      <c r="I157" s="270"/>
    </row>
    <row r="158" spans="2:9" ht="16.5" customHeight="1">
      <c r="C158" s="290" t="s">
        <v>142</v>
      </c>
      <c r="D158" s="290">
        <f>D68</f>
        <v>0</v>
      </c>
      <c r="E158" s="290">
        <f t="shared" ref="E158:G158" si="14">E68</f>
        <v>0</v>
      </c>
      <c r="F158" s="290">
        <f t="shared" si="14"/>
        <v>0</v>
      </c>
      <c r="G158" s="290">
        <f t="shared" si="14"/>
        <v>0</v>
      </c>
      <c r="H158" s="270"/>
      <c r="I158" s="270"/>
    </row>
    <row r="159" spans="2:9" ht="16.5" customHeight="1">
      <c r="C159" s="290" t="str">
        <f>C62</f>
        <v>하자보수충당부채</v>
      </c>
      <c r="D159" s="290">
        <f>D62</f>
        <v>0</v>
      </c>
      <c r="E159" s="290">
        <f t="shared" ref="E159:G159" si="15">E62</f>
        <v>0</v>
      </c>
      <c r="F159" s="290">
        <f t="shared" si="15"/>
        <v>0</v>
      </c>
      <c r="G159" s="290">
        <f t="shared" si="15"/>
        <v>0</v>
      </c>
      <c r="H159" s="270"/>
      <c r="I159" s="270"/>
    </row>
    <row r="160" spans="2:9" ht="16.5" customHeight="1">
      <c r="C160" s="290" t="str">
        <f>C64</f>
        <v>건설자금이자</v>
      </c>
      <c r="D160" s="290">
        <f>D64</f>
        <v>0</v>
      </c>
      <c r="E160" s="290">
        <f t="shared" ref="E160:G161" si="16">E64</f>
        <v>0</v>
      </c>
      <c r="F160" s="290">
        <f t="shared" si="16"/>
        <v>0</v>
      </c>
      <c r="G160" s="290">
        <f t="shared" si="16"/>
        <v>0</v>
      </c>
      <c r="H160" s="270"/>
      <c r="I160" s="270"/>
    </row>
    <row r="161" spans="3:9" ht="16.5" customHeight="1">
      <c r="C161" s="290" t="str">
        <f>C65</f>
        <v>매도가능증권 감액손실</v>
      </c>
      <c r="D161" s="290">
        <f>D65</f>
        <v>0</v>
      </c>
      <c r="E161" s="290">
        <f t="shared" si="16"/>
        <v>0</v>
      </c>
      <c r="F161" s="290">
        <f t="shared" si="16"/>
        <v>0</v>
      </c>
      <c r="G161" s="290">
        <f t="shared" si="16"/>
        <v>0</v>
      </c>
      <c r="H161" s="270"/>
      <c r="I161" s="270"/>
    </row>
    <row r="162" spans="3:9" ht="16.5" customHeight="1">
      <c r="C162" s="290" t="s">
        <v>642</v>
      </c>
      <c r="D162" s="290">
        <f>D67</f>
        <v>0</v>
      </c>
      <c r="E162" s="290">
        <f t="shared" ref="E162:G162" si="17">E67</f>
        <v>0</v>
      </c>
      <c r="F162" s="290">
        <f t="shared" si="17"/>
        <v>0</v>
      </c>
      <c r="G162" s="290">
        <f t="shared" si="17"/>
        <v>0</v>
      </c>
      <c r="H162" s="270"/>
      <c r="I162" s="270"/>
    </row>
    <row r="163" spans="3:9" ht="16.5" customHeight="1">
      <c r="C163" s="290">
        <f>C69</f>
        <v>0</v>
      </c>
      <c r="D163" s="290">
        <f>D69</f>
        <v>0</v>
      </c>
      <c r="E163" s="290">
        <f t="shared" ref="E163:G164" si="18">E69</f>
        <v>0</v>
      </c>
      <c r="F163" s="290">
        <f t="shared" si="18"/>
        <v>0</v>
      </c>
      <c r="G163" s="290">
        <f t="shared" si="18"/>
        <v>0</v>
      </c>
      <c r="H163" s="270"/>
      <c r="I163" s="270"/>
    </row>
    <row r="164" spans="3:9" ht="16.5" customHeight="1">
      <c r="C164" s="290">
        <f>C70</f>
        <v>0</v>
      </c>
      <c r="D164" s="290">
        <f>D70</f>
        <v>0</v>
      </c>
      <c r="E164" s="290">
        <f t="shared" si="18"/>
        <v>0</v>
      </c>
      <c r="F164" s="290">
        <f t="shared" si="18"/>
        <v>0</v>
      </c>
      <c r="G164" s="290">
        <f t="shared" si="18"/>
        <v>0</v>
      </c>
      <c r="H164" s="270"/>
      <c r="I164" s="270"/>
    </row>
    <row r="165" spans="3:9" ht="16.5" customHeight="1">
      <c r="C165" s="290" t="s">
        <v>694</v>
      </c>
      <c r="D165" s="290">
        <f>SUM(D72:D76)</f>
        <v>0</v>
      </c>
      <c r="E165" s="290">
        <f>SUM(E71:E76)</f>
        <v>0</v>
      </c>
      <c r="F165" s="290">
        <f>SUM(F71:F76)</f>
        <v>0</v>
      </c>
      <c r="G165" s="290">
        <f>SUM(G72:G76)</f>
        <v>0</v>
      </c>
      <c r="H165" s="270"/>
      <c r="I165" s="270"/>
    </row>
    <row r="166" spans="3:9" ht="16.5" customHeight="1">
      <c r="C166" s="290" t="s">
        <v>695</v>
      </c>
      <c r="D166" s="290">
        <f>SUM(D152:D165)</f>
        <v>0</v>
      </c>
      <c r="E166" s="290">
        <f t="shared" ref="E166:G166" si="19">SUM(E152:E165)</f>
        <v>0</v>
      </c>
      <c r="F166" s="290">
        <f t="shared" si="19"/>
        <v>0</v>
      </c>
      <c r="G166" s="290">
        <f t="shared" si="19"/>
        <v>0</v>
      </c>
      <c r="H166" s="270"/>
      <c r="I166" s="270"/>
    </row>
    <row r="167" spans="3:9" ht="16.5" customHeight="1">
      <c r="C167" s="290" t="s">
        <v>696</v>
      </c>
      <c r="D167" s="290">
        <v>0.27500000000000002</v>
      </c>
      <c r="E167" s="290"/>
      <c r="F167" s="290"/>
      <c r="G167" s="290">
        <f>G80</f>
        <v>0.24199999999999999</v>
      </c>
      <c r="H167" s="270"/>
      <c r="I167" s="270"/>
    </row>
    <row r="168" spans="3:9" ht="16.5" customHeight="1">
      <c r="C168" s="290" t="s">
        <v>697</v>
      </c>
      <c r="D168" s="290">
        <f>D81</f>
        <v>0</v>
      </c>
      <c r="E168" s="290"/>
      <c r="F168" s="290"/>
      <c r="G168" s="290">
        <f>G81</f>
        <v>0</v>
      </c>
      <c r="H168" s="270"/>
      <c r="I168" s="270"/>
    </row>
    <row r="169" spans="3:9" ht="16.5" customHeight="1">
      <c r="C169" s="290" t="s">
        <v>698</v>
      </c>
      <c r="D169" s="290">
        <f>D82</f>
        <v>0</v>
      </c>
      <c r="E169" s="290"/>
      <c r="F169" s="290"/>
      <c r="G169" s="290">
        <f>G82</f>
        <v>0</v>
      </c>
      <c r="H169" s="270"/>
      <c r="I169" s="270"/>
    </row>
    <row r="170" spans="3:9" ht="16.5" customHeight="1">
      <c r="C170" s="290" t="s">
        <v>699</v>
      </c>
      <c r="D170" s="290">
        <f>D83+D84</f>
        <v>261189174</v>
      </c>
      <c r="E170" s="290"/>
      <c r="F170" s="290"/>
      <c r="G170" s="290">
        <f>G83+G84</f>
        <v>0</v>
      </c>
      <c r="H170" s="270"/>
      <c r="I170" s="270"/>
    </row>
    <row r="171" spans="3:9" ht="16.5" customHeight="1">
      <c r="C171" s="270"/>
      <c r="D171" s="270"/>
      <c r="E171" s="270"/>
      <c r="F171" s="270"/>
      <c r="G171" s="270" t="b">
        <f>(G195+H195)=G170</f>
        <v>1</v>
      </c>
      <c r="H171" s="270"/>
      <c r="I171" s="270"/>
    </row>
    <row r="172" spans="3:9" ht="16.5" customHeight="1">
      <c r="C172" s="270" t="s">
        <v>700</v>
      </c>
      <c r="D172" s="270"/>
      <c r="E172" s="270"/>
      <c r="F172" s="270"/>
      <c r="G172" s="270"/>
      <c r="H172" s="270"/>
      <c r="I172" s="270"/>
    </row>
    <row r="173" spans="3:9" ht="16.5" customHeight="1">
      <c r="C173" s="291" t="s">
        <v>9</v>
      </c>
      <c r="D173" s="291" t="s">
        <v>15</v>
      </c>
      <c r="E173" s="291" t="s">
        <v>16</v>
      </c>
      <c r="F173" s="291" t="s">
        <v>701</v>
      </c>
      <c r="G173" s="270"/>
      <c r="H173" s="270"/>
      <c r="I173" s="270"/>
    </row>
    <row r="174" spans="3:9" ht="16.5" customHeight="1">
      <c r="C174" s="290" t="s">
        <v>702</v>
      </c>
      <c r="D174" s="290">
        <f>D83</f>
        <v>0</v>
      </c>
      <c r="E174" s="290">
        <f>D84</f>
        <v>261189174</v>
      </c>
      <c r="F174" s="290">
        <f>SUM(D174:E174)</f>
        <v>261189174</v>
      </c>
      <c r="G174" s="270"/>
      <c r="H174" s="270"/>
      <c r="I174" s="270"/>
    </row>
    <row r="175" spans="3:9" ht="16.5" customHeight="1">
      <c r="C175" s="290" t="s">
        <v>703</v>
      </c>
      <c r="D175" s="290">
        <f>D176-D174</f>
        <v>0</v>
      </c>
      <c r="E175" s="290">
        <f>E176-E174</f>
        <v>-261189174</v>
      </c>
      <c r="F175" s="290">
        <f t="shared" ref="F175:F176" si="20">SUM(D175:E175)</f>
        <v>-261189174</v>
      </c>
      <c r="G175" s="270"/>
      <c r="H175" s="270"/>
      <c r="I175" s="270"/>
    </row>
    <row r="176" spans="3:9" ht="16.5" customHeight="1">
      <c r="C176" s="290" t="s">
        <v>704</v>
      </c>
      <c r="D176" s="290">
        <f>G83</f>
        <v>0</v>
      </c>
      <c r="E176" s="290">
        <f>G84</f>
        <v>0</v>
      </c>
      <c r="F176" s="290">
        <f t="shared" si="20"/>
        <v>0</v>
      </c>
      <c r="G176" s="270"/>
      <c r="H176" s="270"/>
      <c r="I176" s="270"/>
    </row>
    <row r="177" spans="3:11" ht="16.5" customHeight="1">
      <c r="C177" s="270"/>
      <c r="D177" s="270"/>
      <c r="E177" s="270"/>
      <c r="F177" s="270"/>
      <c r="G177" s="270"/>
      <c r="H177" s="270"/>
      <c r="I177" s="270"/>
    </row>
    <row r="178" spans="3:11" ht="16.5" customHeight="1">
      <c r="C178" s="1339" t="s">
        <v>668</v>
      </c>
      <c r="D178" s="1339" t="s">
        <v>12</v>
      </c>
      <c r="E178" s="498" t="s">
        <v>13</v>
      </c>
      <c r="F178" s="498"/>
      <c r="G178" s="498" t="s">
        <v>14</v>
      </c>
      <c r="H178" s="498"/>
      <c r="I178" s="288"/>
    </row>
    <row r="179" spans="3:11" ht="16.5" customHeight="1">
      <c r="C179" s="1340"/>
      <c r="D179" s="1340"/>
      <c r="E179" s="291" t="s">
        <v>15</v>
      </c>
      <c r="F179" s="291" t="s">
        <v>16</v>
      </c>
      <c r="G179" s="291" t="s">
        <v>15</v>
      </c>
      <c r="H179" s="291" t="s">
        <v>16</v>
      </c>
      <c r="I179" s="270"/>
      <c r="J179" s="269">
        <f>H80</f>
        <v>0.24200000000000002</v>
      </c>
      <c r="K179" s="269">
        <v>0.22</v>
      </c>
    </row>
    <row r="180" spans="3:11" ht="16.5" customHeight="1">
      <c r="C180" s="290" t="s">
        <v>17</v>
      </c>
      <c r="D180" s="290"/>
      <c r="E180" s="290"/>
      <c r="F180" s="290"/>
      <c r="G180" s="290"/>
      <c r="H180" s="290"/>
      <c r="I180" s="288"/>
    </row>
    <row r="181" spans="3:11" ht="16.5" customHeight="1">
      <c r="C181" s="290" t="s">
        <v>681</v>
      </c>
      <c r="D181" s="290">
        <f>G61</f>
        <v>0</v>
      </c>
      <c r="E181" s="290">
        <f>H61</f>
        <v>0</v>
      </c>
      <c r="F181" s="290">
        <f>I61</f>
        <v>0</v>
      </c>
      <c r="G181" s="290">
        <f>E181*H$80</f>
        <v>0</v>
      </c>
      <c r="H181" s="290">
        <f>F181*I$80</f>
        <v>0</v>
      </c>
      <c r="I181" s="288"/>
    </row>
    <row r="182" spans="3:11" ht="16.5" customHeight="1">
      <c r="C182" s="290" t="s">
        <v>10</v>
      </c>
      <c r="D182" s="290">
        <f>G71</f>
        <v>0</v>
      </c>
      <c r="E182" s="290">
        <f>H71</f>
        <v>0</v>
      </c>
      <c r="F182" s="290">
        <f>I71</f>
        <v>0</v>
      </c>
      <c r="G182" s="290">
        <f t="shared" ref="G182:G186" si="21">E182*$H$80</f>
        <v>0</v>
      </c>
      <c r="H182" s="290">
        <f t="shared" ref="H182:H186" si="22">F182*I$80</f>
        <v>0</v>
      </c>
      <c r="I182" s="288"/>
    </row>
    <row r="183" spans="3:11" ht="16.5" customHeight="1">
      <c r="C183" s="290" t="s">
        <v>140</v>
      </c>
      <c r="D183" s="290">
        <f>G60</f>
        <v>0</v>
      </c>
      <c r="E183" s="290">
        <f>H60</f>
        <v>0</v>
      </c>
      <c r="F183" s="290">
        <f>I60</f>
        <v>0</v>
      </c>
      <c r="G183" s="290">
        <f t="shared" si="21"/>
        <v>0</v>
      </c>
      <c r="H183" s="290">
        <f t="shared" si="22"/>
        <v>0</v>
      </c>
      <c r="I183" s="288"/>
    </row>
    <row r="184" spans="3:11" ht="16.5" customHeight="1">
      <c r="C184" s="290" t="str">
        <f>C62</f>
        <v>하자보수충당부채</v>
      </c>
      <c r="D184" s="290">
        <f>G62</f>
        <v>0</v>
      </c>
      <c r="E184" s="290">
        <f>H62</f>
        <v>0</v>
      </c>
      <c r="F184" s="290">
        <f>I62</f>
        <v>0</v>
      </c>
      <c r="G184" s="290">
        <f t="shared" si="21"/>
        <v>0</v>
      </c>
      <c r="H184" s="290">
        <f t="shared" si="22"/>
        <v>0</v>
      </c>
      <c r="I184" s="288"/>
    </row>
    <row r="185" spans="3:11" ht="16.5" customHeight="1">
      <c r="C185" s="290" t="str">
        <f>C65</f>
        <v>매도가능증권 감액손실</v>
      </c>
      <c r="D185" s="290">
        <f>G65</f>
        <v>0</v>
      </c>
      <c r="E185" s="290">
        <f>H65</f>
        <v>0</v>
      </c>
      <c r="F185" s="290">
        <f>I65</f>
        <v>0</v>
      </c>
      <c r="G185" s="290">
        <f t="shared" si="21"/>
        <v>0</v>
      </c>
      <c r="H185" s="290">
        <f t="shared" si="22"/>
        <v>0</v>
      </c>
      <c r="I185" s="288"/>
    </row>
    <row r="186" spans="3:11" ht="16.5" customHeight="1">
      <c r="C186" s="290" t="s">
        <v>694</v>
      </c>
      <c r="D186" s="290">
        <f>SUM(G72:G76)</f>
        <v>0</v>
      </c>
      <c r="E186" s="290">
        <f>SUM(H72:H76)</f>
        <v>0</v>
      </c>
      <c r="F186" s="290">
        <f>SUM(I72:I76)</f>
        <v>0</v>
      </c>
      <c r="G186" s="290">
        <f t="shared" si="21"/>
        <v>0</v>
      </c>
      <c r="H186" s="290">
        <f t="shared" si="22"/>
        <v>0</v>
      </c>
      <c r="I186" s="288"/>
    </row>
    <row r="187" spans="3:11" ht="16.5" customHeight="1">
      <c r="C187" s="290" t="s">
        <v>705</v>
      </c>
      <c r="D187" s="290">
        <f>SUM(D181:D186)</f>
        <v>0</v>
      </c>
      <c r="E187" s="290">
        <f>SUM(E181:E186)</f>
        <v>0</v>
      </c>
      <c r="F187" s="290">
        <f>SUM(F181:F186)</f>
        <v>0</v>
      </c>
      <c r="G187" s="290">
        <f>SUM(G181:G186)</f>
        <v>0</v>
      </c>
      <c r="H187" s="290">
        <f>SUM(H181:H186)</f>
        <v>0</v>
      </c>
      <c r="I187" s="288"/>
    </row>
    <row r="188" spans="3:11" ht="16.5" customHeight="1">
      <c r="C188" s="290" t="s">
        <v>18</v>
      </c>
      <c r="D188" s="290"/>
      <c r="E188" s="290"/>
      <c r="F188" s="290"/>
      <c r="G188" s="290"/>
      <c r="H188" s="290"/>
      <c r="I188" s="288"/>
    </row>
    <row r="189" spans="3:11" ht="16.5" customHeight="1">
      <c r="C189" s="290" t="s">
        <v>11</v>
      </c>
      <c r="D189" s="290">
        <f>G59</f>
        <v>0</v>
      </c>
      <c r="E189" s="290">
        <f t="shared" ref="E189:F189" si="23">H59</f>
        <v>0</v>
      </c>
      <c r="F189" s="290">
        <f t="shared" si="23"/>
        <v>0</v>
      </c>
      <c r="G189" s="290">
        <f t="shared" ref="G189:G192" si="24">E189*$H$80</f>
        <v>0</v>
      </c>
      <c r="H189" s="290">
        <f t="shared" ref="H189:H192" si="25">F189*I$80</f>
        <v>0</v>
      </c>
      <c r="I189" s="288"/>
    </row>
    <row r="190" spans="3:11" ht="16.5" customHeight="1">
      <c r="C190" s="290" t="s">
        <v>19</v>
      </c>
      <c r="D190" s="290">
        <f>G66</f>
        <v>0</v>
      </c>
      <c r="E190" s="290">
        <f t="shared" ref="E190:F191" si="26">H66</f>
        <v>0</v>
      </c>
      <c r="F190" s="290">
        <f t="shared" si="26"/>
        <v>0</v>
      </c>
      <c r="G190" s="290">
        <f t="shared" si="24"/>
        <v>0</v>
      </c>
      <c r="H190" s="290">
        <f t="shared" si="25"/>
        <v>0</v>
      </c>
      <c r="I190" s="288"/>
    </row>
    <row r="191" spans="3:11" ht="16.5" customHeight="1">
      <c r="C191" s="290" t="str">
        <f>C67</f>
        <v>자산재평가차액</v>
      </c>
      <c r="D191" s="290">
        <f>G67</f>
        <v>0</v>
      </c>
      <c r="E191" s="290">
        <f t="shared" si="26"/>
        <v>0</v>
      </c>
      <c r="F191" s="290">
        <f t="shared" si="26"/>
        <v>0</v>
      </c>
      <c r="G191" s="290">
        <f t="shared" si="24"/>
        <v>0</v>
      </c>
      <c r="H191" s="290">
        <f t="shared" si="25"/>
        <v>0</v>
      </c>
      <c r="I191" s="288"/>
    </row>
    <row r="192" spans="3:11" ht="16.5" customHeight="1">
      <c r="C192" s="290">
        <f>C70</f>
        <v>0</v>
      </c>
      <c r="D192" s="290">
        <f>G70</f>
        <v>0</v>
      </c>
      <c r="E192" s="290">
        <f t="shared" ref="E192:F192" si="27">H70</f>
        <v>0</v>
      </c>
      <c r="F192" s="290">
        <f t="shared" si="27"/>
        <v>0</v>
      </c>
      <c r="G192" s="290">
        <f t="shared" si="24"/>
        <v>0</v>
      </c>
      <c r="H192" s="290">
        <f t="shared" si="25"/>
        <v>0</v>
      </c>
      <c r="I192" s="288"/>
    </row>
    <row r="193" spans="3:9" ht="16.5" customHeight="1">
      <c r="C193" s="290" t="s">
        <v>705</v>
      </c>
      <c r="D193" s="290">
        <f>SUM(D189:D192)</f>
        <v>0</v>
      </c>
      <c r="E193" s="290">
        <f>SUM(E189:E192)</f>
        <v>0</v>
      </c>
      <c r="F193" s="290">
        <f>SUM(F189:F192)</f>
        <v>0</v>
      </c>
      <c r="G193" s="290">
        <f t="shared" ref="G193:H193" si="28">E193*J$179</f>
        <v>0</v>
      </c>
      <c r="H193" s="290">
        <f t="shared" si="28"/>
        <v>0</v>
      </c>
      <c r="I193" s="288"/>
    </row>
    <row r="194" spans="3:9" ht="16.5" customHeight="1">
      <c r="C194" s="290" t="s">
        <v>143</v>
      </c>
      <c r="D194" s="290">
        <f>D187+D193</f>
        <v>0</v>
      </c>
      <c r="E194" s="290">
        <f>E187+E193</f>
        <v>0</v>
      </c>
      <c r="F194" s="290">
        <f>F187+F193</f>
        <v>0</v>
      </c>
      <c r="G194" s="290">
        <f>G187+G193</f>
        <v>0</v>
      </c>
      <c r="H194" s="290">
        <f>H187+H193</f>
        <v>0</v>
      </c>
      <c r="I194" s="288"/>
    </row>
    <row r="195" spans="3:9" ht="16.5" customHeight="1">
      <c r="C195" s="290" t="s">
        <v>14</v>
      </c>
      <c r="D195" s="290">
        <f>SUM(G195:H195)</f>
        <v>0</v>
      </c>
      <c r="E195" s="290"/>
      <c r="F195" s="290"/>
      <c r="G195" s="290">
        <f>G194</f>
        <v>0</v>
      </c>
      <c r="H195" s="290">
        <f>H194</f>
        <v>0</v>
      </c>
      <c r="I195" s="288"/>
    </row>
  </sheetData>
  <mergeCells count="8">
    <mergeCell ref="C178:C179"/>
    <mergeCell ref="D178:D179"/>
    <mergeCell ref="A1:E1"/>
    <mergeCell ref="A2:E2"/>
    <mergeCell ref="F2:F3"/>
    <mergeCell ref="G2:G3"/>
    <mergeCell ref="H2:H3"/>
    <mergeCell ref="A3:E3"/>
  </mergeCells>
  <phoneticPr fontId="3" type="noConversion"/>
  <pageMargins left="0.15748031496062992" right="0.19685039370078741" top="0.3543307086614173" bottom="0.31496062992125984" header="0.27559055118110237" footer="0.19685039370078741"/>
  <pageSetup paperSize="9" scale="5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0000"/>
  </sheetPr>
  <dimension ref="A1:M368"/>
  <sheetViews>
    <sheetView topLeftCell="A288" zoomScaleSheetLayoutView="85" workbookViewId="0">
      <selection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8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8" s="503" customFormat="1" ht="15.75" customHeight="1">
      <c r="A2" s="500" t="str">
        <f>기본사항!G2&amp;"년 세무조정 및 세액계산"</f>
        <v>2011년 세무조정 및 세액계산</v>
      </c>
      <c r="B2" s="501"/>
      <c r="C2" s="501"/>
      <c r="D2" s="501"/>
      <c r="E2" s="1342" t="s">
        <v>2526</v>
      </c>
      <c r="F2" s="1344">
        <f>기본사항!$C$14</f>
        <v>40563</v>
      </c>
      <c r="G2" s="1345" t="str">
        <f>기본사항!$C$17</f>
        <v>Kbj</v>
      </c>
      <c r="H2" s="591"/>
    </row>
    <row r="3" spans="1:8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/>
    </row>
    <row r="5" spans="1:8" ht="15.75" customHeight="1">
      <c r="A5" s="505" t="s">
        <v>2527</v>
      </c>
    </row>
    <row r="6" spans="1:8" ht="15.75" customHeight="1">
      <c r="C6" s="517" t="s">
        <v>2528</v>
      </c>
      <c r="D6" s="595" t="s">
        <v>2529</v>
      </c>
    </row>
    <row r="7" spans="1:8" ht="15.75" customHeight="1">
      <c r="C7" s="613" t="s">
        <v>2659</v>
      </c>
      <c r="D7" s="522" t="s">
        <v>2530</v>
      </c>
    </row>
    <row r="8" spans="1:8" ht="15.75" customHeight="1">
      <c r="C8" s="520" t="s">
        <v>2533</v>
      </c>
      <c r="D8" s="522" t="s">
        <v>2532</v>
      </c>
    </row>
    <row r="9" spans="1:8" ht="15.75" customHeight="1">
      <c r="C9" s="520" t="s">
        <v>2534</v>
      </c>
      <c r="D9" s="522" t="s">
        <v>2535</v>
      </c>
    </row>
    <row r="10" spans="1:8" ht="15.75" customHeight="1">
      <c r="C10" s="520" t="s">
        <v>2585</v>
      </c>
      <c r="D10" s="522" t="s">
        <v>2652</v>
      </c>
    </row>
    <row r="11" spans="1:8" ht="15.75" customHeight="1">
      <c r="C11" s="520" t="s">
        <v>2586</v>
      </c>
      <c r="D11" s="522" t="s">
        <v>2653</v>
      </c>
    </row>
    <row r="12" spans="1:8" ht="15.75" customHeight="1">
      <c r="C12" s="520" t="s">
        <v>2654</v>
      </c>
      <c r="D12" s="522" t="s">
        <v>2655</v>
      </c>
    </row>
    <row r="14" spans="1:8" ht="15.75" customHeight="1">
      <c r="A14" s="505" t="s">
        <v>2548</v>
      </c>
    </row>
    <row r="15" spans="1:8" ht="15.75" customHeight="1">
      <c r="C15" s="517" t="s">
        <v>668</v>
      </c>
      <c r="D15" s="595" t="str">
        <f>기본사항!G2&amp;"년"</f>
        <v>2011년</v>
      </c>
    </row>
    <row r="16" spans="1:8" ht="15.75" customHeight="1">
      <c r="C16" s="520">
        <v>0</v>
      </c>
      <c r="D16" s="611">
        <v>0.11</v>
      </c>
    </row>
    <row r="17" spans="1:5" ht="15.75" customHeight="1">
      <c r="C17" s="520">
        <v>200000000</v>
      </c>
      <c r="D17" s="611">
        <v>0.22</v>
      </c>
    </row>
    <row r="19" spans="1:5" ht="15.75" customHeight="1">
      <c r="A19" s="505" t="s">
        <v>2525</v>
      </c>
    </row>
    <row r="20" spans="1:5" ht="15.75" customHeight="1">
      <c r="A20" s="505"/>
      <c r="B20" s="528" t="s">
        <v>2564</v>
      </c>
      <c r="C20" s="506" t="s">
        <v>2565</v>
      </c>
    </row>
    <row r="21" spans="1:5" ht="15.75" customHeight="1">
      <c r="C21" s="612" t="s">
        <v>636</v>
      </c>
      <c r="D21" s="513"/>
      <c r="E21" s="595" t="s">
        <v>2390</v>
      </c>
    </row>
    <row r="22" spans="1:5" ht="15.75" customHeight="1">
      <c r="C22" s="520" t="s">
        <v>2539</v>
      </c>
      <c r="D22" s="521"/>
      <c r="E22" s="522">
        <f>FS_worksheet!L219</f>
        <v>-268590723</v>
      </c>
    </row>
    <row r="23" spans="1:5" ht="15.75" customHeight="1">
      <c r="C23" s="1341" t="s">
        <v>2563</v>
      </c>
      <c r="D23" s="521" t="s">
        <v>2537</v>
      </c>
      <c r="E23" s="522">
        <f>$D$83</f>
        <v>0</v>
      </c>
    </row>
    <row r="24" spans="1:5" ht="15.75" customHeight="1">
      <c r="C24" s="1341"/>
      <c r="D24" s="521" t="s">
        <v>2435</v>
      </c>
      <c r="E24" s="522">
        <f>$G$83</f>
        <v>0</v>
      </c>
    </row>
    <row r="25" spans="1:5" ht="15.75" customHeight="1">
      <c r="C25" s="520" t="s">
        <v>2540</v>
      </c>
      <c r="D25" s="521"/>
      <c r="E25" s="522">
        <f>E22+E23-$E$24</f>
        <v>-268590723</v>
      </c>
    </row>
    <row r="26" spans="1:5" ht="15.75" customHeight="1">
      <c r="C26" s="520" t="s">
        <v>2541</v>
      </c>
      <c r="D26" s="521"/>
      <c r="E26" s="522">
        <f>'T202'!E197</f>
        <v>141010129</v>
      </c>
    </row>
    <row r="27" spans="1:5" ht="15.75" customHeight="1">
      <c r="C27" s="520" t="s">
        <v>2542</v>
      </c>
      <c r="D27" s="521"/>
      <c r="E27" s="522">
        <f>SUM('T202'!$F$178,'T202'!$F$184,'T202'!$F$191)</f>
        <v>0</v>
      </c>
    </row>
    <row r="28" spans="1:5" ht="15.75" customHeight="1">
      <c r="C28" s="520" t="s">
        <v>2543</v>
      </c>
      <c r="D28" s="521"/>
      <c r="E28" s="522">
        <f>$E$25+$E$26-$E$27</f>
        <v>-127580594</v>
      </c>
    </row>
    <row r="29" spans="1:5" ht="15.75" customHeight="1">
      <c r="C29" s="520" t="s">
        <v>2544</v>
      </c>
      <c r="D29" s="521"/>
      <c r="E29" s="522"/>
    </row>
    <row r="30" spans="1:5" ht="15.75" customHeight="1">
      <c r="C30" s="520" t="s">
        <v>2545</v>
      </c>
      <c r="D30" s="521"/>
      <c r="E30" s="522"/>
    </row>
    <row r="31" spans="1:5" ht="15.75" customHeight="1">
      <c r="C31" s="520" t="s">
        <v>2546</v>
      </c>
      <c r="D31" s="521"/>
      <c r="E31" s="522"/>
    </row>
    <row r="32" spans="1:5" ht="15.75" customHeight="1">
      <c r="C32" s="520" t="s">
        <v>2549</v>
      </c>
      <c r="D32" s="521"/>
      <c r="E32" s="522">
        <f>$E$28-$E$29-$E$30-$E$31</f>
        <v>-127580594</v>
      </c>
    </row>
    <row r="33" spans="3:5" ht="15.75" customHeight="1">
      <c r="C33" s="520" t="s">
        <v>2547</v>
      </c>
      <c r="D33" s="521"/>
      <c r="E33" s="611">
        <f>IFERROR(VLOOKUP(E32,$C$16:$D$17,2,TRUE),0)</f>
        <v>0</v>
      </c>
    </row>
    <row r="34" spans="3:5" ht="15.75" customHeight="1">
      <c r="C34" s="701" t="s">
        <v>2651</v>
      </c>
      <c r="D34" s="702"/>
      <c r="E34" s="609">
        <f>IF(E32&lt;0,0,IF($E$32&lt;$C$17,ROUNDDOWN(($E$32*$D$16),0),ROUNDDOWN(((($E$32-$C$17)*$D$17)+($C$17*$D$16)),0)))</f>
        <v>0</v>
      </c>
    </row>
    <row r="35" spans="3:5" ht="15.75" customHeight="1">
      <c r="C35" s="520" t="s">
        <v>2550</v>
      </c>
      <c r="D35" s="521"/>
      <c r="E35" s="522"/>
    </row>
    <row r="36" spans="3:5" ht="15.75" customHeight="1">
      <c r="C36" s="520" t="s">
        <v>2551</v>
      </c>
      <c r="D36" s="521"/>
      <c r="E36" s="522">
        <f>E34-E35</f>
        <v>0</v>
      </c>
    </row>
    <row r="37" spans="3:5" ht="15.75" customHeight="1">
      <c r="C37" s="520" t="s">
        <v>2552</v>
      </c>
      <c r="D37" s="521"/>
      <c r="E37" s="522"/>
    </row>
    <row r="38" spans="3:5" ht="15.75" customHeight="1">
      <c r="C38" s="520" t="s">
        <v>2553</v>
      </c>
      <c r="D38" s="521"/>
      <c r="E38" s="522"/>
    </row>
    <row r="39" spans="3:5" ht="15.75" customHeight="1">
      <c r="C39" s="520" t="s">
        <v>2554</v>
      </c>
      <c r="D39" s="521"/>
      <c r="E39" s="522">
        <f>E36-E37+E38</f>
        <v>0</v>
      </c>
    </row>
    <row r="40" spans="3:5" ht="15.75" customHeight="1">
      <c r="C40" s="1341" t="s">
        <v>2555</v>
      </c>
      <c r="D40" s="521" t="s">
        <v>2556</v>
      </c>
      <c r="E40" s="522"/>
    </row>
    <row r="41" spans="3:5" ht="15.75" customHeight="1">
      <c r="C41" s="1341"/>
      <c r="D41" s="521" t="s">
        <v>2557</v>
      </c>
      <c r="E41" s="522"/>
    </row>
    <row r="42" spans="3:5" ht="15.75" customHeight="1">
      <c r="C42" s="1341"/>
      <c r="D42" s="521" t="s">
        <v>2558</v>
      </c>
      <c r="E42" s="522"/>
    </row>
    <row r="43" spans="3:5" ht="15.75" customHeight="1">
      <c r="C43" s="1341"/>
      <c r="D43" s="521" t="s">
        <v>2559</v>
      </c>
      <c r="E43" s="522"/>
    </row>
    <row r="44" spans="3:5" ht="15.75" customHeight="1">
      <c r="C44" s="1341"/>
      <c r="D44" s="521" t="s">
        <v>2560</v>
      </c>
      <c r="E44" s="522">
        <f>SUM(E40:E43)</f>
        <v>0</v>
      </c>
    </row>
    <row r="45" spans="3:5" ht="15.75" customHeight="1">
      <c r="C45" s="1341"/>
      <c r="D45" s="521" t="s">
        <v>2561</v>
      </c>
      <c r="E45" s="522"/>
    </row>
    <row r="46" spans="3:5" ht="15.75" customHeight="1">
      <c r="C46" s="1341"/>
      <c r="D46" s="521" t="s">
        <v>2443</v>
      </c>
      <c r="E46" s="522">
        <f>E44+E45</f>
        <v>0</v>
      </c>
    </row>
    <row r="47" spans="3:5" ht="15.75" customHeight="1">
      <c r="C47" s="520" t="s">
        <v>2562</v>
      </c>
      <c r="D47" s="521"/>
      <c r="E47" s="522">
        <f>E39-E46</f>
        <v>0</v>
      </c>
    </row>
    <row r="48" spans="3:5" ht="15.75" customHeight="1">
      <c r="C48" s="520" t="s">
        <v>2649</v>
      </c>
      <c r="D48" s="521"/>
      <c r="E48" s="522">
        <f>ROUNDDOWN(E34*10%,0)</f>
        <v>0</v>
      </c>
    </row>
    <row r="49" spans="1:13" ht="15.75" customHeight="1">
      <c r="C49" s="701" t="s">
        <v>2650</v>
      </c>
      <c r="D49" s="702"/>
      <c r="E49" s="609">
        <f>SUM(E34,E48)</f>
        <v>0</v>
      </c>
    </row>
    <row r="50" spans="1:13" ht="15.75" customHeight="1">
      <c r="C50" s="703" t="s">
        <v>2663</v>
      </c>
      <c r="D50" s="704"/>
      <c r="E50" s="705">
        <f>SUM($E$47:$E$48)</f>
        <v>0</v>
      </c>
    </row>
    <row r="52" spans="1:13" ht="15.75" customHeight="1">
      <c r="A52" s="505" t="s">
        <v>2525</v>
      </c>
      <c r="B52" s="505"/>
      <c r="J52" s="545"/>
      <c r="K52" s="545"/>
      <c r="L52" s="545"/>
      <c r="M52" s="545"/>
    </row>
    <row r="53" spans="1:13" ht="15.75" customHeight="1">
      <c r="C53" s="507" t="s">
        <v>2342</v>
      </c>
      <c r="D53" s="508"/>
      <c r="E53" s="508"/>
      <c r="F53" s="508" t="s">
        <v>2343</v>
      </c>
      <c r="G53" s="508"/>
      <c r="H53" s="509"/>
      <c r="J53" s="545"/>
      <c r="K53" s="545"/>
      <c r="L53" s="545"/>
      <c r="M53" s="545"/>
    </row>
    <row r="54" spans="1:13" ht="15.75" customHeight="1">
      <c r="C54" s="510" t="s">
        <v>2344</v>
      </c>
      <c r="D54" s="511" t="s">
        <v>2345</v>
      </c>
      <c r="E54" s="511" t="s">
        <v>2346</v>
      </c>
      <c r="F54" s="511" t="s">
        <v>2344</v>
      </c>
      <c r="G54" s="511" t="s">
        <v>2345</v>
      </c>
      <c r="H54" s="512" t="s">
        <v>2346</v>
      </c>
      <c r="I54" s="512" t="s">
        <v>2538</v>
      </c>
      <c r="J54" s="568"/>
      <c r="K54" s="568"/>
      <c r="L54" s="568"/>
      <c r="M54" s="568"/>
    </row>
    <row r="55" spans="1:13" ht="15.75" customHeight="1">
      <c r="C55" s="514" t="str">
        <f>IF('T202'!C8=0,"",'T202'!C8)</f>
        <v>퇴직급여충당금(당기)</v>
      </c>
      <c r="D55" s="515" t="str">
        <f>IF('T202'!D8=0,"",'T202'!D8)</f>
        <v/>
      </c>
      <c r="E55" s="601" t="str">
        <f>IF('T202'!E8=0,"",'T202'!E8)</f>
        <v>유보</v>
      </c>
      <c r="F55" s="516" t="str">
        <f>IF('T202'!F8=0,"",'T202'!F8)</f>
        <v>퇴직급여충당금(전기)</v>
      </c>
      <c r="G55" s="515" t="str">
        <f>IF('T202'!G8=0,"",'T202'!G8)</f>
        <v/>
      </c>
      <c r="H55" s="554" t="str">
        <f>IF('T202'!H8=0,"",'T202'!H8)</f>
        <v>유보</v>
      </c>
      <c r="I55" s="554" t="s">
        <v>2534</v>
      </c>
      <c r="J55" s="569"/>
      <c r="K55" s="569"/>
      <c r="L55" s="569"/>
      <c r="M55" s="569"/>
    </row>
    <row r="56" spans="1:13" ht="15.75" customHeight="1">
      <c r="C56" s="514" t="str">
        <f>IF('T202'!C9=0,"",'T202'!C9)</f>
        <v>퇴직보험충당금(상계)</v>
      </c>
      <c r="D56" s="515" t="str">
        <f>IF('T202'!D9=0,"",'T202'!D9)</f>
        <v/>
      </c>
      <c r="E56" s="601" t="str">
        <f>IF('T202'!E9=0,"",'T202'!E9)</f>
        <v>유보</v>
      </c>
      <c r="F56" s="516" t="str">
        <f>IF('T202'!F9=0,"",'T202'!F9)</f>
        <v>퇴직급여충당금(상계)</v>
      </c>
      <c r="G56" s="515" t="str">
        <f>IF('T202'!G9=0,"",'T202'!G9)</f>
        <v/>
      </c>
      <c r="H56" s="554" t="str">
        <f>IF('T202'!H9=0,"",'T202'!H9)</f>
        <v>유보</v>
      </c>
      <c r="I56" s="554" t="s">
        <v>2534</v>
      </c>
      <c r="J56" s="569"/>
      <c r="K56" s="569"/>
      <c r="L56" s="569"/>
      <c r="M56" s="569"/>
    </row>
    <row r="57" spans="1:13" ht="15.75" customHeight="1">
      <c r="C57" s="514" t="str">
        <f>IF('T202'!C10=0,"",'T202'!C10)</f>
        <v/>
      </c>
      <c r="D57" s="515" t="str">
        <f>IF('T202'!D10=0,"",'T202'!D10)</f>
        <v/>
      </c>
      <c r="E57" s="601" t="str">
        <f>IF('T202'!E10=0,"",'T202'!E10)</f>
        <v/>
      </c>
      <c r="F57" s="516" t="str">
        <f>IF('T202'!F10=0,"",'T202'!F10)</f>
        <v>퇴직보험충당금(당기)</v>
      </c>
      <c r="G57" s="515" t="str">
        <f>IF('T202'!G10=0,"",'T202'!G10)</f>
        <v/>
      </c>
      <c r="H57" s="554" t="str">
        <f>IF('T202'!H10=0,"",'T202'!H10)</f>
        <v>유보</v>
      </c>
      <c r="I57" s="554" t="s">
        <v>2534</v>
      </c>
      <c r="J57" s="545"/>
      <c r="K57" s="545"/>
      <c r="L57" s="545"/>
      <c r="M57" s="545"/>
    </row>
    <row r="58" spans="1:13" ht="15.75" customHeight="1">
      <c r="C58" s="514" t="str">
        <f>IF('T202'!C11=0,"",'T202'!C11)</f>
        <v>대손충당금</v>
      </c>
      <c r="D58" s="515" t="str">
        <f>IF('T202'!D11=0,"",'T202'!D11)</f>
        <v/>
      </c>
      <c r="E58" s="601" t="str">
        <f>IF('T202'!E11=0,"",'T202'!E11)</f>
        <v>유보</v>
      </c>
      <c r="F58" s="516" t="str">
        <f>IF('T202'!F11=0,"",'T202'!F11)</f>
        <v>대손충당금</v>
      </c>
      <c r="G58" s="515" t="str">
        <f>IF('T202'!G11=0,"",'T202'!G11)</f>
        <v/>
      </c>
      <c r="H58" s="554" t="str">
        <f>IF('T202'!H11=0,"",'T202'!H11)</f>
        <v>유보</v>
      </c>
      <c r="I58" s="554" t="s">
        <v>2534</v>
      </c>
      <c r="J58" s="545"/>
      <c r="K58" s="545"/>
      <c r="L58" s="545"/>
      <c r="M58" s="545"/>
    </row>
    <row r="59" spans="1:13" ht="15.75" customHeight="1">
      <c r="C59" s="514" t="str">
        <f>IF('T202'!C12=0,"",'T202'!C12)</f>
        <v>접대비(사적비용)</v>
      </c>
      <c r="D59" s="515" t="str">
        <f>IF('T202'!D12=0,"",'T202'!D12)</f>
        <v/>
      </c>
      <c r="E59" s="601" t="str">
        <f>IF('T202'!E12=0,"",'T202'!E12)</f>
        <v/>
      </c>
      <c r="F59" s="516" t="str">
        <f>IF('T202'!F12=0,"",'T202'!F12)</f>
        <v/>
      </c>
      <c r="G59" s="515" t="str">
        <f>IF('T202'!G12=0,"",'T202'!G12)</f>
        <v/>
      </c>
      <c r="H59" s="554" t="str">
        <f>IF('T202'!H12=0,"",'T202'!H12)</f>
        <v/>
      </c>
      <c r="I59" s="554" t="s">
        <v>2534</v>
      </c>
      <c r="J59" s="545"/>
      <c r="K59" s="545"/>
      <c r="L59" s="545"/>
      <c r="M59" s="545"/>
    </row>
    <row r="60" spans="1:13" ht="15.75" customHeight="1">
      <c r="C60" s="514" t="str">
        <f>IF('T202'!C13=0,"",'T202'!C13)</f>
        <v>접대비(지출증빙)</v>
      </c>
      <c r="D60" s="515" t="str">
        <f>IF('T202'!D13=0,"",'T202'!D13)</f>
        <v/>
      </c>
      <c r="E60" s="601" t="str">
        <f>IF('T202'!E13=0,"",'T202'!E13)</f>
        <v>기타사외유출</v>
      </c>
      <c r="F60" s="516" t="str">
        <f>IF('T202'!F13=0,"",'T202'!F13)</f>
        <v/>
      </c>
      <c r="G60" s="515" t="str">
        <f>IF('T202'!G13=0,"",'T202'!G13)</f>
        <v/>
      </c>
      <c r="H60" s="554" t="str">
        <f>IF('T202'!H13=0,"",'T202'!H13)</f>
        <v/>
      </c>
      <c r="I60" s="554" t="s">
        <v>2534</v>
      </c>
      <c r="J60" s="545"/>
      <c r="K60" s="545"/>
      <c r="L60" s="545"/>
      <c r="M60" s="545"/>
    </row>
    <row r="61" spans="1:13" ht="15.75" customHeight="1">
      <c r="C61" s="514" t="str">
        <f>IF('T202'!C14=0,"",'T202'!C14)</f>
        <v>접대비(한도초과)</v>
      </c>
      <c r="D61" s="515" t="str">
        <f>IF('T202'!D14=0,"",'T202'!D14)</f>
        <v/>
      </c>
      <c r="E61" s="601" t="str">
        <f>IF('T202'!E14=0,"",'T202'!E14)</f>
        <v>기타사외유출</v>
      </c>
      <c r="F61" s="516" t="str">
        <f>IF('T202'!F14=0,"",'T202'!F14)</f>
        <v/>
      </c>
      <c r="G61" s="515" t="str">
        <f>IF('T202'!G14=0,"",'T202'!G14)</f>
        <v/>
      </c>
      <c r="H61" s="554" t="str">
        <f>IF('T202'!H14=0,"",'T202'!H14)</f>
        <v/>
      </c>
      <c r="I61" s="554" t="s">
        <v>2534</v>
      </c>
      <c r="J61" s="545"/>
      <c r="K61" s="545"/>
      <c r="L61" s="545"/>
      <c r="M61" s="545"/>
    </row>
    <row r="62" spans="1:13" ht="15.75" customHeight="1">
      <c r="C62" s="514" t="str">
        <f>IF('T202'!C15=0,"",'T202'!C15)</f>
        <v>기부금(비지정)</v>
      </c>
      <c r="D62" s="515" t="str">
        <f>IF('T202'!D15=0,"",'T202'!D15)</f>
        <v/>
      </c>
      <c r="E62" s="601" t="str">
        <f>IF('T202'!E15=0,"",'T202'!E15)</f>
        <v>기타사외유출</v>
      </c>
      <c r="F62" s="516" t="str">
        <f>IF('T202'!F15=0,"",'T202'!F15)</f>
        <v/>
      </c>
      <c r="G62" s="515" t="str">
        <f>IF('T202'!G15=0,"",'T202'!G15)</f>
        <v/>
      </c>
      <c r="H62" s="554" t="str">
        <f>IF('T202'!H15=0,"",'T202'!H15)</f>
        <v/>
      </c>
      <c r="I62" s="554" t="s">
        <v>2534</v>
      </c>
      <c r="J62" s="545"/>
      <c r="K62" s="545"/>
      <c r="L62" s="545"/>
      <c r="M62" s="545"/>
    </row>
    <row r="63" spans="1:13" ht="15.75" customHeight="1">
      <c r="C63" s="640"/>
      <c r="D63" s="641"/>
      <c r="E63" s="642"/>
      <c r="F63" s="643"/>
      <c r="G63" s="641"/>
      <c r="H63" s="644"/>
      <c r="I63" s="644"/>
      <c r="J63" s="545"/>
      <c r="K63" s="545"/>
      <c r="L63" s="545"/>
      <c r="M63" s="545"/>
    </row>
    <row r="64" spans="1:13" ht="15.75" customHeight="1">
      <c r="C64" s="514" t="str">
        <f>IF('T203'!C8=0,"",'T203'!C8)</f>
        <v>외화환산손실</v>
      </c>
      <c r="D64" s="515" t="str">
        <f>IF('T203'!D8=0,"",'T203'!D8)</f>
        <v/>
      </c>
      <c r="E64" s="601" t="str">
        <f>IF('T203'!E8=0,"",'T203'!E8)</f>
        <v>유보</v>
      </c>
      <c r="F64" s="516" t="str">
        <f>IF('T203'!F8=0,"",'T203'!F8)</f>
        <v>외화환산손실</v>
      </c>
      <c r="G64" s="515" t="str">
        <f>IF('T203'!G8=0,"",'T203'!G8)</f>
        <v/>
      </c>
      <c r="H64" s="554" t="str">
        <f>IF('T203'!H8=0,"",'T203'!H8)</f>
        <v>유보</v>
      </c>
      <c r="I64" s="554" t="s">
        <v>2585</v>
      </c>
      <c r="J64" s="545"/>
      <c r="K64" s="545"/>
      <c r="L64" s="545"/>
      <c r="M64" s="545"/>
    </row>
    <row r="65" spans="3:13" ht="15.75" customHeight="1">
      <c r="C65" s="514" t="str">
        <f>IF('T203'!C9=0,"",'T203'!C9)</f>
        <v>외화환산이익</v>
      </c>
      <c r="D65" s="515" t="str">
        <f>IF('T203'!D9=0,"",'T203'!D9)</f>
        <v/>
      </c>
      <c r="E65" s="601" t="str">
        <f>IF('T203'!E9=0,"",'T203'!E9)</f>
        <v>유보</v>
      </c>
      <c r="F65" s="516" t="str">
        <f>IF('T203'!F9=0,"",'T203'!F9)</f>
        <v>외화환산이익</v>
      </c>
      <c r="G65" s="515" t="str">
        <f>IF('T203'!G9=0,"",'T203'!G9)</f>
        <v/>
      </c>
      <c r="H65" s="554" t="str">
        <f>IF('T203'!H9=0,"",'T203'!H9)</f>
        <v>유보</v>
      </c>
      <c r="I65" s="554" t="s">
        <v>2585</v>
      </c>
      <c r="J65" s="545"/>
      <c r="K65" s="545"/>
      <c r="L65" s="545"/>
      <c r="M65" s="545"/>
    </row>
    <row r="66" spans="3:13" ht="15.75" customHeight="1">
      <c r="C66" s="514" t="str">
        <f>IF('T203'!C10=0,"",'T203'!C10)</f>
        <v>지분법손실</v>
      </c>
      <c r="D66" s="515" t="str">
        <f>IF('T203'!D10=0,"",'T203'!D10)</f>
        <v/>
      </c>
      <c r="E66" s="601" t="str">
        <f>IF('T203'!E10=0,"",'T203'!E10)</f>
        <v>유보</v>
      </c>
      <c r="F66" s="516" t="str">
        <f>IF('T203'!F10=0,"",'T203'!F10)</f>
        <v>지분법손실</v>
      </c>
      <c r="G66" s="515" t="str">
        <f>IF('T203'!G10=0,"",'T203'!G10)</f>
        <v/>
      </c>
      <c r="H66" s="554" t="str">
        <f>IF('T203'!H10=0,"",'T203'!H10)</f>
        <v>유보</v>
      </c>
      <c r="I66" s="554" t="s">
        <v>2585</v>
      </c>
      <c r="J66" s="545"/>
      <c r="K66" s="545"/>
      <c r="L66" s="545"/>
      <c r="M66" s="545"/>
    </row>
    <row r="67" spans="3:13" ht="15.75" customHeight="1">
      <c r="C67" s="514" t="str">
        <f>IF('T203'!C11=0,"",'T203'!C11)</f>
        <v>지분법이익</v>
      </c>
      <c r="D67" s="515" t="str">
        <f>IF('T203'!D11=0,"",'T203'!D11)</f>
        <v/>
      </c>
      <c r="E67" s="601" t="str">
        <f>IF('T203'!E11=0,"",'T203'!E11)</f>
        <v>유보</v>
      </c>
      <c r="F67" s="516" t="str">
        <f>IF('T203'!F11=0,"",'T203'!F11)</f>
        <v>지분법이익</v>
      </c>
      <c r="G67" s="515" t="str">
        <f>IF('T203'!G11=0,"",'T203'!G11)</f>
        <v/>
      </c>
      <c r="H67" s="554" t="str">
        <f>IF('T203'!H11=0,"",'T203'!H11)</f>
        <v>유보</v>
      </c>
      <c r="I67" s="554" t="s">
        <v>2585</v>
      </c>
      <c r="J67" s="545"/>
      <c r="K67" s="545"/>
      <c r="L67" s="545"/>
      <c r="M67" s="545"/>
    </row>
    <row r="68" spans="3:13" ht="15.75" customHeight="1">
      <c r="C68" s="514" t="str">
        <f>IF('T203'!C13=0,"",'T203'!C13)</f>
        <v>단기매매증권평가손실</v>
      </c>
      <c r="D68" s="515" t="str">
        <f>IF('T203'!D13=0,"",'T203'!D13)</f>
        <v/>
      </c>
      <c r="E68" s="601" t="str">
        <f>IF('T203'!E13=0,"",'T203'!E13)</f>
        <v>유보</v>
      </c>
      <c r="F68" s="516" t="str">
        <f>IF('T203'!F13=0,"",'T203'!F13)</f>
        <v>단기매매증권평가손실</v>
      </c>
      <c r="G68" s="515" t="str">
        <f>IF('T203'!G13=0,"",'T203'!G13)</f>
        <v/>
      </c>
      <c r="H68" s="554" t="str">
        <f>IF('T203'!H13=0,"",'T203'!H13)</f>
        <v>유보</v>
      </c>
      <c r="I68" s="554" t="s">
        <v>2585</v>
      </c>
      <c r="J68" s="545"/>
      <c r="K68" s="545"/>
      <c r="L68" s="545"/>
      <c r="M68" s="545"/>
    </row>
    <row r="69" spans="3:13" ht="15.75" customHeight="1">
      <c r="C69" s="514" t="str">
        <f>IF('T203'!C14=0,"",'T203'!C14)</f>
        <v>단기매매증권평가이익</v>
      </c>
      <c r="D69" s="515" t="str">
        <f>IF('T203'!D14=0,"",'T203'!D14)</f>
        <v/>
      </c>
      <c r="E69" s="601" t="str">
        <f>IF('T203'!E14=0,"",'T203'!E14)</f>
        <v>유보</v>
      </c>
      <c r="F69" s="516" t="str">
        <f>IF('T203'!F14=0,"",'T203'!F14)</f>
        <v>단기매매증권평가이익</v>
      </c>
      <c r="G69" s="515" t="str">
        <f>IF('T203'!G14=0,"",'T203'!G14)</f>
        <v/>
      </c>
      <c r="H69" s="554" t="str">
        <f>IF('T203'!H14=0,"",'T203'!H14)</f>
        <v>유보</v>
      </c>
      <c r="I69" s="554" t="s">
        <v>2585</v>
      </c>
      <c r="J69" s="545"/>
      <c r="K69" s="545"/>
      <c r="L69" s="545"/>
      <c r="M69" s="545"/>
    </row>
    <row r="70" spans="3:13" ht="15.75" customHeight="1">
      <c r="C70" s="514" t="str">
        <f>IF('T203'!C15=0,"",'T203'!C15)</f>
        <v>원재료평가손실</v>
      </c>
      <c r="D70" s="515" t="str">
        <f>IF('T203'!D15=0,"",'T203'!D15)</f>
        <v/>
      </c>
      <c r="E70" s="601" t="str">
        <f>IF('T203'!E15=0,"",'T203'!E15)</f>
        <v>유보</v>
      </c>
      <c r="F70" s="516" t="str">
        <f>IF('T203'!F15=0,"",'T203'!F15)</f>
        <v>원재료평가손실</v>
      </c>
      <c r="G70" s="515" t="str">
        <f>IF('T203'!G15=0,"",'T203'!G15)</f>
        <v/>
      </c>
      <c r="H70" s="554" t="str">
        <f>IF('T203'!H15=0,"",'T203'!H15)</f>
        <v>유보</v>
      </c>
      <c r="I70" s="554" t="s">
        <v>2585</v>
      </c>
      <c r="J70" s="545"/>
      <c r="K70" s="545"/>
      <c r="L70" s="545"/>
      <c r="M70" s="545"/>
    </row>
    <row r="71" spans="3:13" ht="15.75" customHeight="1">
      <c r="C71" s="514" t="str">
        <f>IF('T203'!C16=0,"",'T203'!C16)</f>
        <v>제품평가손실</v>
      </c>
      <c r="D71" s="515" t="str">
        <f>IF('T203'!D16=0,"",'T203'!D16)</f>
        <v/>
      </c>
      <c r="E71" s="604" t="str">
        <f>IF('T203'!E16=0,"",'T203'!E16)</f>
        <v>유보</v>
      </c>
      <c r="F71" s="516" t="str">
        <f>IF('T203'!F16=0,"",'T203'!F16)</f>
        <v>제품평가손실</v>
      </c>
      <c r="G71" s="515" t="str">
        <f>IF('T203'!G16=0,"",'T203'!G16)</f>
        <v/>
      </c>
      <c r="H71" s="554" t="str">
        <f>IF('T203'!H16=0,"",'T203'!H16)</f>
        <v>유보</v>
      </c>
      <c r="I71" s="554" t="s">
        <v>2585</v>
      </c>
      <c r="J71" s="545"/>
      <c r="K71" s="545"/>
      <c r="L71" s="545"/>
      <c r="M71" s="545"/>
    </row>
    <row r="72" spans="3:13" ht="15.75" customHeight="1">
      <c r="C72" s="514" t="str">
        <f>IF('T203'!C17=0,"",'T203'!C17)</f>
        <v>미수수익</v>
      </c>
      <c r="D72" s="515" t="str">
        <f>IF('T203'!D17=0,"",'T203'!D17)</f>
        <v/>
      </c>
      <c r="E72" s="601" t="str">
        <f>IF('T203'!E17=0,"",'T203'!E17)</f>
        <v>유보</v>
      </c>
      <c r="F72" s="516" t="str">
        <f>IF('T203'!F17=0,"",'T203'!F17)</f>
        <v>미수수익</v>
      </c>
      <c r="G72" s="515" t="str">
        <f>IF('T203'!G17=0,"",'T203'!G17)</f>
        <v/>
      </c>
      <c r="H72" s="554" t="str">
        <f>IF('T203'!H17=0,"",'T203'!H17)</f>
        <v>유보</v>
      </c>
      <c r="I72" s="554" t="s">
        <v>2585</v>
      </c>
      <c r="J72" s="545"/>
      <c r="K72" s="545"/>
      <c r="L72" s="545"/>
      <c r="M72" s="545"/>
    </row>
    <row r="73" spans="3:13" ht="15.75" customHeight="1">
      <c r="C73" s="514" t="str">
        <f>IF('T203'!C18=0,"",'T203'!C18)</f>
        <v>마일리지충당금</v>
      </c>
      <c r="D73" s="515" t="str">
        <f>IF('T203'!D18=0,"",'T203'!D18)</f>
        <v/>
      </c>
      <c r="E73" s="601" t="str">
        <f>IF('T203'!E18=0,"",'T203'!E18)</f>
        <v>유보</v>
      </c>
      <c r="F73" s="516" t="str">
        <f>IF('T203'!F18=0,"",'T203'!F18)</f>
        <v>마일리지충당금</v>
      </c>
      <c r="G73" s="515" t="str">
        <f>IF('T203'!G18=0,"",'T203'!G18)</f>
        <v/>
      </c>
      <c r="H73" s="554" t="str">
        <f>IF('T203'!H18=0,"",'T203'!H18)</f>
        <v>유보</v>
      </c>
      <c r="I73" s="554" t="s">
        <v>2585</v>
      </c>
      <c r="J73" s="545"/>
      <c r="K73" s="545"/>
      <c r="L73" s="545"/>
      <c r="M73" s="545"/>
    </row>
    <row r="74" spans="3:13" ht="15.75" customHeight="1">
      <c r="C74" s="514" t="str">
        <f>IF('T203'!C19=0,"",'T203'!C19)</f>
        <v>판매보증충당금</v>
      </c>
      <c r="D74" s="515" t="str">
        <f>IF('T203'!D19=0,"",'T203'!D19)</f>
        <v/>
      </c>
      <c r="E74" s="601" t="str">
        <f>IF('T203'!E19=0,"",'T203'!E19)</f>
        <v>유보</v>
      </c>
      <c r="F74" s="516" t="str">
        <f>IF('T203'!F19=0,"",'T203'!F19)</f>
        <v>판매보증충당금</v>
      </c>
      <c r="G74" s="515" t="str">
        <f>IF('T203'!G19=0,"",'T203'!G19)</f>
        <v/>
      </c>
      <c r="H74" s="554" t="str">
        <f>IF('T203'!H19=0,"",'T203'!H19)</f>
        <v>유보</v>
      </c>
      <c r="I74" s="554" t="s">
        <v>2585</v>
      </c>
      <c r="J74" s="545"/>
      <c r="K74" s="545"/>
      <c r="L74" s="545"/>
      <c r="M74" s="545"/>
    </row>
    <row r="75" spans="3:13" ht="15.75" customHeight="1">
      <c r="C75" s="514" t="str">
        <f>IF('T203'!C20=0,"",'T203'!C20)</f>
        <v>하자보수충당금</v>
      </c>
      <c r="D75" s="515" t="str">
        <f>IF('T203'!D20=0,"",'T203'!D20)</f>
        <v/>
      </c>
      <c r="E75" s="601" t="str">
        <f>IF('T203'!E20=0,"",'T203'!E20)</f>
        <v>유보</v>
      </c>
      <c r="F75" s="516" t="str">
        <f>IF('T203'!F20=0,"",'T203'!F20)</f>
        <v>하자보수충당금</v>
      </c>
      <c r="G75" s="515" t="str">
        <f>IF('T203'!G20=0,"",'T203'!G20)</f>
        <v/>
      </c>
      <c r="H75" s="554" t="str">
        <f>IF('T203'!H20=0,"",'T203'!H20)</f>
        <v>유보</v>
      </c>
      <c r="I75" s="554" t="s">
        <v>2585</v>
      </c>
      <c r="J75" s="545"/>
      <c r="K75" s="545"/>
      <c r="L75" s="545"/>
      <c r="M75" s="545"/>
    </row>
    <row r="76" spans="3:13" ht="15.75" customHeight="1">
      <c r="C76" s="640"/>
      <c r="D76" s="641"/>
      <c r="E76" s="642"/>
      <c r="F76" s="643"/>
      <c r="G76" s="641"/>
      <c r="H76" s="644"/>
      <c r="I76" s="644"/>
      <c r="J76" s="545"/>
      <c r="K76" s="545"/>
      <c r="L76" s="545"/>
      <c r="M76" s="545"/>
    </row>
    <row r="77" spans="3:13" ht="15.75" customHeight="1">
      <c r="C77" s="514" t="str">
        <f>IF('T204'!C8=0,"",'T204'!C8)</f>
        <v/>
      </c>
      <c r="D77" s="515" t="str">
        <f>IF('T204'!D8=0,"",'T204'!D8)</f>
        <v/>
      </c>
      <c r="E77" s="601" t="str">
        <f>IF('T204'!E8=0,"",'T204'!E8)</f>
        <v/>
      </c>
      <c r="F77" s="516" t="str">
        <f>IF('T204'!F8=0,"",'T204'!F8)</f>
        <v/>
      </c>
      <c r="G77" s="515" t="str">
        <f>IF('T204'!G8=0,"",'T204'!G8)</f>
        <v/>
      </c>
      <c r="H77" s="554" t="str">
        <f>IF('T204'!H8=0,"",'T204'!H8)</f>
        <v/>
      </c>
      <c r="I77" s="554" t="s">
        <v>2586</v>
      </c>
      <c r="J77" s="545"/>
      <c r="K77" s="545"/>
      <c r="L77" s="545"/>
      <c r="M77" s="545"/>
    </row>
    <row r="78" spans="3:13" ht="15.75" customHeight="1">
      <c r="C78" s="514" t="str">
        <f>IF('T204'!C9=0,"",'T204'!C9)</f>
        <v/>
      </c>
      <c r="D78" s="515" t="str">
        <f>IF('T204'!D9=0,"",'T204'!D9)</f>
        <v/>
      </c>
      <c r="E78" s="601" t="str">
        <f>IF('T204'!E9=0,"",'T204'!E9)</f>
        <v/>
      </c>
      <c r="F78" s="516" t="str">
        <f>IF('T204'!F9=0,"",'T204'!F9)</f>
        <v/>
      </c>
      <c r="G78" s="515" t="str">
        <f>IF('T204'!G9=0,"",'T204'!G9)</f>
        <v/>
      </c>
      <c r="H78" s="554" t="str">
        <f>IF('T204'!H9=0,"",'T204'!H9)</f>
        <v/>
      </c>
      <c r="I78" s="554" t="s">
        <v>2586</v>
      </c>
      <c r="J78" s="545"/>
      <c r="K78" s="545"/>
      <c r="L78" s="545"/>
      <c r="M78" s="545"/>
    </row>
    <row r="79" spans="3:13" ht="15.75" customHeight="1">
      <c r="C79" s="514" t="str">
        <f>IF('T204'!C10=0,"",'T204'!C10)</f>
        <v/>
      </c>
      <c r="D79" s="515" t="str">
        <f>IF('T204'!D10=0,"",'T204'!D10)</f>
        <v/>
      </c>
      <c r="E79" s="601" t="str">
        <f>IF('T204'!E10=0,"",'T204'!E10)</f>
        <v/>
      </c>
      <c r="F79" s="516" t="str">
        <f>IF('T204'!F10=0,"",'T204'!F10)</f>
        <v/>
      </c>
      <c r="G79" s="515" t="str">
        <f>IF('T204'!G10=0,"",'T204'!G10)</f>
        <v/>
      </c>
      <c r="H79" s="554" t="str">
        <f>IF('T204'!H10=0,"",'T204'!H10)</f>
        <v/>
      </c>
      <c r="I79" s="554" t="s">
        <v>2586</v>
      </c>
      <c r="J79" s="545"/>
      <c r="K79" s="545"/>
      <c r="L79" s="545"/>
      <c r="M79" s="545"/>
    </row>
    <row r="80" spans="3:13" ht="15.75" customHeight="1">
      <c r="C80" s="514" t="str">
        <f>IF('T204'!C11=0,"",'T204'!C11)</f>
        <v/>
      </c>
      <c r="D80" s="515" t="str">
        <f>IF('T204'!D11=0,"",'T204'!D11)</f>
        <v/>
      </c>
      <c r="E80" s="601" t="str">
        <f>IF('T204'!E11=0,"",'T204'!E11)</f>
        <v/>
      </c>
      <c r="F80" s="516" t="str">
        <f>IF('T204'!F11=0,"",'T204'!F11)</f>
        <v/>
      </c>
      <c r="G80" s="515" t="str">
        <f>IF('T204'!G11=0,"",'T204'!G11)</f>
        <v/>
      </c>
      <c r="H80" s="554" t="str">
        <f>IF('T204'!H11=0,"",'T204'!H11)</f>
        <v/>
      </c>
      <c r="I80" s="554" t="s">
        <v>2586</v>
      </c>
      <c r="J80" s="545"/>
      <c r="K80" s="545"/>
      <c r="L80" s="545"/>
      <c r="M80" s="545"/>
    </row>
    <row r="81" spans="1:13" ht="15.75" customHeight="1">
      <c r="C81" s="514" t="str">
        <f>IF('T204'!C12=0,"",'T204'!C12)</f>
        <v/>
      </c>
      <c r="D81" s="515" t="str">
        <f>IF('T204'!D12=0,"",'T204'!D12)</f>
        <v/>
      </c>
      <c r="E81" s="601" t="str">
        <f>IF('T204'!E12=0,"",'T204'!E12)</f>
        <v/>
      </c>
      <c r="F81" s="516" t="str">
        <f>IF('T204'!F12=0,"",'T204'!F12)</f>
        <v/>
      </c>
      <c r="G81" s="515" t="str">
        <f>IF('T204'!G12=0,"",'T204'!G12)</f>
        <v/>
      </c>
      <c r="H81" s="554" t="str">
        <f>IF('T204'!H12=0,"",'T204'!H12)</f>
        <v/>
      </c>
      <c r="I81" s="554" t="s">
        <v>2586</v>
      </c>
      <c r="J81" s="545"/>
      <c r="K81" s="545"/>
      <c r="L81" s="545"/>
      <c r="M81" s="545"/>
    </row>
    <row r="82" spans="1:13" ht="15.75" customHeight="1">
      <c r="C82" s="514" t="str">
        <f>IF('T204'!C13=0,"",'T204'!C13)</f>
        <v>끝</v>
      </c>
      <c r="D82" s="515" t="str">
        <f>IF('T204'!D13=0,"",'T204'!D13)</f>
        <v/>
      </c>
      <c r="E82" s="601" t="str">
        <f>IF('T204'!E13=0,"",'T204'!E13)</f>
        <v/>
      </c>
      <c r="F82" s="516" t="str">
        <f>IF('T204'!F13=0,"",'T204'!F13)</f>
        <v/>
      </c>
      <c r="G82" s="515" t="str">
        <f>IF('T204'!G13=0,"",'T204'!G13)</f>
        <v/>
      </c>
      <c r="H82" s="554" t="str">
        <f>IF('T204'!H13=0,"",'T204'!H13)</f>
        <v/>
      </c>
      <c r="I82" s="554" t="s">
        <v>2586</v>
      </c>
      <c r="J82" s="545"/>
      <c r="K82" s="545"/>
      <c r="L82" s="545"/>
      <c r="M82" s="545"/>
    </row>
    <row r="83" spans="1:13" ht="15.75" customHeight="1">
      <c r="C83" s="523"/>
      <c r="D83" s="524">
        <f>SUM(D55:D82)</f>
        <v>0</v>
      </c>
      <c r="E83" s="525"/>
      <c r="F83" s="526"/>
      <c r="G83" s="524">
        <f>SUM(G55:G82)</f>
        <v>0</v>
      </c>
      <c r="H83" s="527"/>
      <c r="I83" s="527"/>
    </row>
    <row r="85" spans="1:13" ht="15.75" customHeight="1">
      <c r="A85" s="573"/>
      <c r="B85" s="573"/>
      <c r="C85" s="532"/>
      <c r="D85" s="532"/>
      <c r="E85" s="532"/>
      <c r="F85" s="532"/>
      <c r="G85" s="532"/>
      <c r="H85" s="532"/>
      <c r="I85" s="532"/>
    </row>
    <row r="86" spans="1:13" ht="15.75" customHeight="1">
      <c r="A86" s="550"/>
      <c r="B86" s="536"/>
      <c r="C86" s="536"/>
      <c r="D86" s="532"/>
      <c r="E86" s="532"/>
      <c r="F86" s="532"/>
      <c r="G86" s="532"/>
      <c r="H86" s="532"/>
      <c r="I86" s="532"/>
    </row>
    <row r="87" spans="1:13" ht="15.75" customHeight="1">
      <c r="A87" s="550"/>
      <c r="B87" s="550"/>
      <c r="C87" s="530"/>
      <c r="D87" s="598"/>
      <c r="E87" s="532"/>
      <c r="F87" s="532"/>
      <c r="G87" s="532"/>
      <c r="H87" s="532"/>
      <c r="I87" s="532"/>
    </row>
    <row r="88" spans="1:13" ht="15.75" customHeight="1">
      <c r="A88" s="550"/>
      <c r="B88" s="550"/>
      <c r="C88" s="550"/>
      <c r="D88" s="532"/>
      <c r="E88" s="532"/>
      <c r="F88" s="532"/>
      <c r="G88" s="532"/>
      <c r="H88" s="532"/>
      <c r="I88" s="532"/>
    </row>
    <row r="89" spans="1:13" ht="15.75" customHeight="1">
      <c r="A89" s="550"/>
      <c r="B89" s="550"/>
      <c r="C89" s="598"/>
      <c r="D89" s="570"/>
      <c r="E89" s="570"/>
      <c r="F89" s="570"/>
      <c r="G89" s="570"/>
      <c r="H89" s="570"/>
      <c r="I89" s="570"/>
    </row>
    <row r="90" spans="1:13" ht="15.75" customHeight="1">
      <c r="A90" s="550"/>
      <c r="B90" s="550"/>
      <c r="C90" s="598"/>
      <c r="D90" s="593"/>
      <c r="E90" s="593"/>
      <c r="F90" s="593"/>
      <c r="G90" s="593"/>
      <c r="H90" s="593"/>
      <c r="I90" s="593"/>
    </row>
    <row r="91" spans="1:13" ht="15.75" customHeight="1">
      <c r="A91" s="550"/>
      <c r="B91" s="550"/>
      <c r="C91" s="532"/>
      <c r="D91" s="532"/>
      <c r="E91" s="532"/>
      <c r="F91" s="532"/>
      <c r="G91" s="532"/>
      <c r="H91" s="532"/>
      <c r="I91" s="532"/>
    </row>
    <row r="92" spans="1:13" ht="15.75" customHeight="1">
      <c r="A92" s="550"/>
      <c r="B92" s="550"/>
      <c r="C92" s="532"/>
      <c r="D92" s="532"/>
      <c r="E92" s="532"/>
      <c r="F92" s="532"/>
      <c r="G92" s="532"/>
      <c r="H92" s="532"/>
      <c r="I92" s="532"/>
    </row>
    <row r="93" spans="1:13" ht="15.75" customHeight="1">
      <c r="A93" s="550"/>
      <c r="B93" s="550"/>
      <c r="C93" s="532"/>
      <c r="D93" s="532"/>
      <c r="E93" s="532"/>
      <c r="F93" s="532"/>
      <c r="G93" s="532"/>
      <c r="H93" s="532"/>
      <c r="I93" s="532"/>
    </row>
    <row r="94" spans="1:13" ht="15.75" customHeight="1">
      <c r="A94" s="550"/>
      <c r="B94" s="550"/>
      <c r="C94" s="532"/>
      <c r="D94" s="532"/>
      <c r="E94" s="532"/>
      <c r="F94" s="532"/>
      <c r="G94" s="532"/>
      <c r="H94" s="532"/>
      <c r="I94" s="532"/>
    </row>
    <row r="95" spans="1:13" ht="15.75" customHeight="1">
      <c r="A95" s="550"/>
      <c r="B95" s="550"/>
      <c r="C95" s="536"/>
      <c r="D95" s="532"/>
      <c r="E95" s="532"/>
      <c r="F95" s="532"/>
      <c r="G95" s="532"/>
      <c r="H95" s="532"/>
      <c r="I95" s="532"/>
    </row>
    <row r="96" spans="1:13" ht="15.75" customHeight="1">
      <c r="A96" s="550"/>
      <c r="B96" s="550"/>
      <c r="C96" s="536"/>
      <c r="D96" s="532"/>
      <c r="E96" s="532"/>
      <c r="F96" s="532"/>
      <c r="G96" s="532"/>
      <c r="H96" s="532"/>
      <c r="I96" s="532"/>
    </row>
    <row r="97" spans="1:9" ht="15.75" customHeight="1">
      <c r="A97" s="550"/>
      <c r="B97" s="550"/>
      <c r="C97" s="536"/>
      <c r="D97" s="532"/>
      <c r="E97" s="532"/>
      <c r="F97" s="532"/>
      <c r="G97" s="532"/>
      <c r="H97" s="532"/>
      <c r="I97" s="532"/>
    </row>
    <row r="98" spans="1:9" ht="15.75" customHeight="1">
      <c r="A98" s="550"/>
      <c r="B98" s="550"/>
      <c r="C98" s="550"/>
      <c r="D98" s="532"/>
      <c r="E98" s="532"/>
      <c r="F98" s="532"/>
      <c r="G98" s="532"/>
      <c r="H98" s="532"/>
      <c r="I98" s="532"/>
    </row>
    <row r="99" spans="1:9" ht="15.75" customHeight="1">
      <c r="A99" s="550"/>
      <c r="B99" s="550"/>
      <c r="C99" s="574"/>
      <c r="D99" s="570"/>
      <c r="E99" s="532"/>
      <c r="F99" s="532"/>
      <c r="G99" s="532"/>
      <c r="H99" s="532"/>
      <c r="I99" s="532"/>
    </row>
    <row r="100" spans="1:9" ht="15.75" customHeight="1">
      <c r="A100" s="550"/>
      <c r="B100" s="550"/>
      <c r="C100" s="536"/>
      <c r="D100" s="532"/>
      <c r="E100" s="532"/>
      <c r="F100" s="532"/>
      <c r="G100" s="532"/>
      <c r="H100" s="532"/>
      <c r="I100" s="532"/>
    </row>
    <row r="101" spans="1:9" ht="15.75" customHeight="1">
      <c r="A101" s="550"/>
      <c r="B101" s="550"/>
      <c r="C101" s="536"/>
      <c r="D101" s="532"/>
      <c r="E101" s="532"/>
      <c r="F101" s="532"/>
      <c r="G101" s="532"/>
      <c r="H101" s="532"/>
      <c r="I101" s="532"/>
    </row>
    <row r="102" spans="1:9" ht="15.75" customHeight="1">
      <c r="A102" s="550"/>
      <c r="B102" s="550"/>
      <c r="C102" s="536"/>
      <c r="D102" s="532"/>
      <c r="E102" s="532"/>
      <c r="F102" s="532"/>
      <c r="G102" s="532"/>
      <c r="H102" s="532"/>
      <c r="I102" s="532"/>
    </row>
    <row r="103" spans="1:9" ht="15.75" customHeight="1">
      <c r="A103" s="550"/>
      <c r="B103" s="550"/>
      <c r="C103" s="530"/>
      <c r="D103" s="598"/>
      <c r="E103" s="532"/>
      <c r="F103" s="532"/>
      <c r="G103" s="532"/>
      <c r="H103" s="532"/>
      <c r="I103" s="532"/>
    </row>
    <row r="104" spans="1:9" ht="15.75" customHeight="1">
      <c r="A104" s="550"/>
      <c r="B104" s="550"/>
      <c r="C104" s="593"/>
      <c r="D104" s="593"/>
      <c r="E104" s="532"/>
      <c r="F104" s="550"/>
      <c r="G104" s="532"/>
      <c r="H104" s="532"/>
      <c r="I104" s="532"/>
    </row>
    <row r="105" spans="1:9" ht="15.75" customHeight="1">
      <c r="A105" s="550"/>
      <c r="B105" s="550"/>
      <c r="C105" s="598"/>
      <c r="D105" s="598"/>
      <c r="E105" s="532"/>
      <c r="F105" s="570"/>
      <c r="G105" s="570"/>
      <c r="H105" s="570"/>
      <c r="I105" s="532"/>
    </row>
    <row r="106" spans="1:9" ht="15.75" customHeight="1">
      <c r="A106" s="550"/>
      <c r="B106" s="550"/>
      <c r="C106" s="598"/>
      <c r="D106" s="598"/>
      <c r="E106" s="532"/>
      <c r="F106" s="532"/>
      <c r="G106" s="532"/>
      <c r="H106" s="532"/>
      <c r="I106" s="532"/>
    </row>
    <row r="107" spans="1:9" ht="15.75" customHeight="1">
      <c r="A107" s="550"/>
      <c r="B107" s="550"/>
      <c r="C107" s="598"/>
      <c r="D107" s="598"/>
      <c r="E107" s="532"/>
      <c r="F107" s="532"/>
      <c r="G107" s="532"/>
      <c r="H107" s="532"/>
      <c r="I107" s="532"/>
    </row>
    <row r="108" spans="1:9" ht="15.75" customHeight="1">
      <c r="A108" s="550"/>
      <c r="B108" s="550"/>
      <c r="C108" s="598"/>
      <c r="D108" s="598"/>
      <c r="E108" s="532"/>
      <c r="F108" s="532"/>
      <c r="G108" s="532"/>
      <c r="H108" s="532"/>
      <c r="I108" s="532"/>
    </row>
    <row r="109" spans="1:9" ht="15.75" customHeight="1">
      <c r="A109" s="550"/>
      <c r="B109" s="550"/>
      <c r="C109" s="598"/>
      <c r="D109" s="598"/>
      <c r="E109" s="532"/>
      <c r="F109" s="532"/>
      <c r="G109" s="532"/>
      <c r="H109" s="532"/>
      <c r="I109" s="532"/>
    </row>
    <row r="110" spans="1:9" ht="15.75" customHeight="1">
      <c r="A110" s="550"/>
      <c r="B110" s="550"/>
      <c r="C110" s="598"/>
      <c r="D110" s="532"/>
      <c r="E110" s="532"/>
      <c r="F110" s="532"/>
      <c r="G110" s="532"/>
      <c r="H110" s="532"/>
      <c r="I110" s="532"/>
    </row>
    <row r="111" spans="1:9" ht="15.75" customHeight="1">
      <c r="A111" s="550"/>
      <c r="B111" s="550"/>
      <c r="C111" s="574"/>
      <c r="D111" s="570"/>
      <c r="E111" s="570"/>
      <c r="F111" s="570"/>
      <c r="G111" s="532"/>
      <c r="H111" s="532"/>
      <c r="I111" s="532"/>
    </row>
    <row r="112" spans="1:9" ht="15.75" customHeight="1">
      <c r="A112" s="550"/>
      <c r="B112" s="550"/>
      <c r="C112" s="536"/>
      <c r="D112" s="532"/>
      <c r="E112" s="575"/>
      <c r="F112" s="532"/>
      <c r="G112" s="532"/>
      <c r="H112" s="532"/>
      <c r="I112" s="532"/>
    </row>
    <row r="113" spans="1:9" ht="15.75" customHeight="1">
      <c r="A113" s="550"/>
      <c r="B113" s="550"/>
      <c r="C113" s="536"/>
      <c r="D113" s="532"/>
      <c r="E113" s="532"/>
      <c r="F113" s="532"/>
      <c r="G113" s="532"/>
      <c r="H113" s="532"/>
      <c r="I113" s="532"/>
    </row>
    <row r="114" spans="1:9" ht="15.75" customHeight="1">
      <c r="A114" s="550"/>
      <c r="B114" s="550"/>
      <c r="C114" s="574"/>
      <c r="D114" s="570"/>
      <c r="E114" s="570"/>
      <c r="F114" s="570"/>
      <c r="G114" s="570"/>
      <c r="H114" s="576"/>
      <c r="I114" s="570"/>
    </row>
    <row r="115" spans="1:9" ht="15.75" customHeight="1">
      <c r="A115" s="550"/>
      <c r="B115" s="550"/>
      <c r="C115" s="536"/>
      <c r="D115" s="532"/>
      <c r="E115" s="532"/>
      <c r="F115" s="532"/>
      <c r="G115" s="532"/>
      <c r="H115" s="532"/>
      <c r="I115" s="532"/>
    </row>
    <row r="116" spans="1:9" ht="15.75" customHeight="1">
      <c r="A116" s="550"/>
      <c r="B116" s="550"/>
      <c r="C116" s="536"/>
      <c r="D116" s="532"/>
      <c r="E116" s="532"/>
      <c r="F116" s="532"/>
      <c r="G116" s="532"/>
      <c r="H116" s="532"/>
      <c r="I116" s="532"/>
    </row>
    <row r="117" spans="1:9" ht="15.75" customHeight="1">
      <c r="A117" s="550"/>
      <c r="B117" s="550"/>
      <c r="C117" s="574"/>
      <c r="D117" s="570"/>
      <c r="E117" s="570"/>
      <c r="F117" s="570"/>
      <c r="G117" s="532"/>
      <c r="H117" s="532"/>
      <c r="I117" s="532"/>
    </row>
    <row r="118" spans="1:9" ht="15.75" customHeight="1">
      <c r="A118" s="550"/>
      <c r="B118" s="550"/>
      <c r="C118" s="536"/>
      <c r="D118" s="532"/>
      <c r="E118" s="532"/>
      <c r="F118" s="618"/>
      <c r="G118" s="532"/>
      <c r="H118" s="532"/>
      <c r="I118" s="532"/>
    </row>
    <row r="119" spans="1:9" ht="15.75" customHeight="1">
      <c r="A119" s="550"/>
      <c r="B119" s="550"/>
      <c r="C119" s="536"/>
      <c r="D119" s="532"/>
      <c r="E119" s="532"/>
      <c r="F119" s="532"/>
      <c r="G119" s="532"/>
      <c r="H119" s="532"/>
      <c r="I119" s="532"/>
    </row>
    <row r="120" spans="1:9" ht="15.75" customHeight="1">
      <c r="A120" s="550"/>
      <c r="B120" s="550"/>
      <c r="C120" s="536"/>
      <c r="D120" s="532"/>
      <c r="E120" s="532"/>
      <c r="F120" s="532"/>
      <c r="G120" s="532"/>
      <c r="H120" s="532"/>
      <c r="I120" s="532"/>
    </row>
    <row r="121" spans="1:9" ht="15.75" customHeight="1">
      <c r="A121" s="550"/>
      <c r="B121" s="532"/>
      <c r="C121" s="536"/>
      <c r="D121" s="532"/>
      <c r="E121" s="532"/>
      <c r="F121" s="532"/>
      <c r="G121" s="532"/>
      <c r="H121" s="532"/>
      <c r="I121" s="532"/>
    </row>
    <row r="122" spans="1:9" ht="15.75" customHeight="1">
      <c r="A122" s="550"/>
      <c r="B122" s="550"/>
      <c r="C122" s="536"/>
      <c r="D122" s="532"/>
      <c r="E122" s="532"/>
      <c r="F122" s="532"/>
      <c r="G122" s="532"/>
      <c r="H122" s="532"/>
      <c r="I122" s="532"/>
    </row>
    <row r="123" spans="1:9" ht="15.75" customHeight="1">
      <c r="A123" s="550"/>
      <c r="B123" s="532"/>
      <c r="C123" s="574"/>
      <c r="D123" s="570"/>
      <c r="E123" s="570"/>
      <c r="F123" s="532"/>
      <c r="G123" s="532"/>
      <c r="H123" s="532"/>
      <c r="I123" s="532"/>
    </row>
    <row r="124" spans="1:9" ht="15.75" customHeight="1">
      <c r="A124" s="550"/>
      <c r="B124" s="532"/>
      <c r="C124" s="536"/>
      <c r="D124" s="532"/>
      <c r="E124" s="532"/>
      <c r="F124" s="532"/>
      <c r="G124" s="532"/>
      <c r="H124" s="532"/>
      <c r="I124" s="532"/>
    </row>
    <row r="125" spans="1:9" ht="15.75" customHeight="1">
      <c r="A125" s="550"/>
      <c r="B125" s="532"/>
      <c r="C125" s="536"/>
      <c r="D125" s="532"/>
      <c r="E125" s="532"/>
      <c r="F125" s="532"/>
      <c r="G125" s="532"/>
      <c r="H125" s="532"/>
      <c r="I125" s="532"/>
    </row>
    <row r="126" spans="1:9" ht="15.75" customHeight="1">
      <c r="A126" s="550"/>
      <c r="B126" s="532"/>
      <c r="C126" s="536"/>
      <c r="D126" s="532"/>
      <c r="E126" s="532"/>
      <c r="F126" s="532"/>
      <c r="G126" s="532"/>
      <c r="H126" s="532"/>
      <c r="I126" s="532"/>
    </row>
    <row r="127" spans="1:9" ht="15.75" customHeight="1">
      <c r="A127" s="550"/>
      <c r="B127" s="550"/>
      <c r="C127" s="536"/>
      <c r="D127" s="532"/>
      <c r="E127" s="532"/>
      <c r="F127" s="532"/>
      <c r="G127" s="532"/>
      <c r="H127" s="532"/>
      <c r="I127" s="532"/>
    </row>
    <row r="128" spans="1:9" ht="15.75" customHeight="1">
      <c r="A128" s="550"/>
      <c r="B128" s="550"/>
      <c r="C128" s="574"/>
      <c r="D128" s="574"/>
      <c r="E128" s="570"/>
      <c r="F128" s="570"/>
      <c r="G128" s="570"/>
      <c r="H128" s="532"/>
      <c r="I128" s="532"/>
    </row>
    <row r="129" spans="1:9" ht="15.75" customHeight="1">
      <c r="A129" s="550"/>
      <c r="B129" s="550"/>
      <c r="C129" s="536"/>
      <c r="D129" s="532"/>
      <c r="E129" s="532"/>
      <c r="F129" s="532"/>
      <c r="G129" s="532"/>
      <c r="H129" s="532"/>
      <c r="I129" s="532"/>
    </row>
    <row r="130" spans="1:9" ht="15.75" customHeight="1">
      <c r="A130" s="550"/>
      <c r="B130" s="550"/>
      <c r="C130" s="536"/>
      <c r="D130" s="532"/>
      <c r="E130" s="532"/>
      <c r="F130" s="532"/>
      <c r="G130" s="532"/>
      <c r="H130" s="532"/>
      <c r="I130" s="532"/>
    </row>
    <row r="131" spans="1:9" ht="15.75" customHeight="1">
      <c r="A131" s="550"/>
      <c r="B131" s="550"/>
      <c r="C131" s="536"/>
      <c r="D131" s="532"/>
      <c r="E131" s="532"/>
      <c r="F131" s="532"/>
      <c r="G131" s="532"/>
      <c r="H131" s="532"/>
      <c r="I131" s="532"/>
    </row>
    <row r="132" spans="1:9" ht="15.75" customHeight="1">
      <c r="A132" s="550"/>
      <c r="B132" s="550"/>
      <c r="C132" s="574"/>
      <c r="D132" s="570"/>
      <c r="E132" s="570"/>
      <c r="F132" s="570"/>
      <c r="G132" s="570"/>
      <c r="H132" s="570"/>
      <c r="I132" s="532"/>
    </row>
    <row r="133" spans="1:9" ht="15.75" customHeight="1">
      <c r="A133" s="550"/>
      <c r="B133" s="550"/>
      <c r="C133" s="536"/>
      <c r="D133" s="532"/>
      <c r="E133" s="532"/>
      <c r="F133" s="532"/>
      <c r="G133" s="532"/>
      <c r="H133" s="532"/>
      <c r="I133" s="532"/>
    </row>
    <row r="134" spans="1:9" ht="15.75" customHeight="1">
      <c r="A134" s="550"/>
      <c r="B134" s="550"/>
      <c r="C134" s="536"/>
      <c r="D134" s="532"/>
      <c r="E134" s="532"/>
      <c r="F134" s="532"/>
      <c r="G134" s="532"/>
      <c r="H134" s="532"/>
      <c r="I134" s="532"/>
    </row>
    <row r="135" spans="1:9" ht="15.75" customHeight="1">
      <c r="A135" s="550"/>
      <c r="B135" s="550"/>
      <c r="C135" s="536"/>
      <c r="D135" s="532"/>
      <c r="E135" s="532"/>
      <c r="F135" s="532"/>
      <c r="G135" s="532"/>
      <c r="H135" s="532"/>
      <c r="I135" s="532"/>
    </row>
    <row r="136" spans="1:9" ht="15.75" customHeight="1">
      <c r="A136" s="550"/>
      <c r="B136" s="550"/>
      <c r="C136" s="574"/>
      <c r="D136" s="570"/>
      <c r="E136" s="570"/>
      <c r="F136" s="570"/>
      <c r="G136" s="570"/>
      <c r="H136" s="570"/>
      <c r="I136" s="532"/>
    </row>
    <row r="137" spans="1:9" ht="15.75" customHeight="1">
      <c r="A137" s="550"/>
      <c r="B137" s="550"/>
      <c r="C137" s="536"/>
      <c r="D137" s="532"/>
      <c r="E137" s="532"/>
      <c r="F137" s="532"/>
      <c r="G137" s="532"/>
      <c r="H137" s="532"/>
      <c r="I137" s="532"/>
    </row>
    <row r="138" spans="1:9" ht="15.75" customHeight="1">
      <c r="A138" s="550"/>
      <c r="B138" s="550"/>
      <c r="C138" s="536"/>
      <c r="D138" s="532"/>
      <c r="E138" s="532"/>
      <c r="F138" s="532"/>
      <c r="G138" s="532"/>
      <c r="H138" s="532"/>
      <c r="I138" s="532"/>
    </row>
    <row r="139" spans="1:9" ht="15.75" customHeight="1">
      <c r="A139" s="550"/>
      <c r="B139" s="550"/>
      <c r="C139" s="574"/>
      <c r="D139" s="570"/>
      <c r="E139" s="570"/>
      <c r="F139" s="570"/>
      <c r="G139" s="570"/>
      <c r="H139" s="570"/>
      <c r="I139" s="532"/>
    </row>
    <row r="140" spans="1:9" ht="15.75" customHeight="1">
      <c r="A140" s="550"/>
      <c r="B140" s="550"/>
      <c r="C140" s="532"/>
      <c r="D140" s="532"/>
      <c r="E140" s="532"/>
      <c r="F140" s="532"/>
      <c r="G140" s="532"/>
      <c r="H140" s="618"/>
      <c r="I140" s="532"/>
    </row>
    <row r="141" spans="1:9" ht="15.75" customHeight="1">
      <c r="A141" s="550"/>
      <c r="B141" s="550"/>
      <c r="C141" s="536"/>
      <c r="D141" s="532"/>
      <c r="E141" s="532"/>
      <c r="F141" s="532"/>
      <c r="G141" s="532"/>
      <c r="H141" s="532"/>
      <c r="I141" s="532"/>
    </row>
    <row r="142" spans="1:9" ht="15.75" customHeight="1">
      <c r="A142" s="550"/>
      <c r="B142" s="550"/>
      <c r="C142" s="536"/>
      <c r="D142" s="532"/>
      <c r="E142" s="532"/>
      <c r="F142" s="532"/>
      <c r="G142" s="532"/>
      <c r="H142" s="532"/>
      <c r="I142" s="532"/>
    </row>
    <row r="143" spans="1:9" ht="15.75" customHeight="1">
      <c r="A143" s="550"/>
      <c r="B143" s="532"/>
      <c r="C143" s="530"/>
      <c r="D143" s="598"/>
      <c r="E143" s="532"/>
      <c r="F143" s="532"/>
      <c r="G143" s="532"/>
      <c r="H143" s="532"/>
      <c r="I143" s="532"/>
    </row>
    <row r="144" spans="1:9" ht="15.75" customHeight="1">
      <c r="A144" s="550"/>
      <c r="B144" s="550"/>
      <c r="C144" s="598"/>
      <c r="D144" s="598"/>
      <c r="E144" s="532"/>
      <c r="F144" s="598"/>
      <c r="G144" s="598"/>
      <c r="H144" s="532"/>
      <c r="I144" s="532"/>
    </row>
    <row r="145" spans="1:9" ht="15.75" customHeight="1">
      <c r="A145" s="550"/>
      <c r="B145" s="550"/>
      <c r="C145" s="598"/>
      <c r="D145" s="598"/>
      <c r="E145" s="532"/>
      <c r="F145" s="532"/>
      <c r="G145" s="532"/>
      <c r="H145" s="532"/>
      <c r="I145" s="532"/>
    </row>
    <row r="146" spans="1:9" ht="15.75" customHeight="1">
      <c r="A146" s="550"/>
      <c r="B146" s="550"/>
      <c r="C146" s="598"/>
      <c r="D146" s="598"/>
      <c r="E146" s="532"/>
      <c r="F146" s="532"/>
      <c r="G146" s="532"/>
      <c r="H146" s="532"/>
      <c r="I146" s="532"/>
    </row>
    <row r="147" spans="1:9" ht="15.75" customHeight="1">
      <c r="A147" s="550"/>
      <c r="B147" s="550"/>
      <c r="C147" s="598"/>
      <c r="D147" s="598"/>
      <c r="E147" s="532"/>
      <c r="F147" s="532"/>
      <c r="G147" s="532"/>
      <c r="H147" s="532"/>
      <c r="I147" s="532"/>
    </row>
    <row r="148" spans="1:9" ht="15.75" customHeight="1">
      <c r="A148" s="550"/>
      <c r="B148" s="550"/>
      <c r="C148" s="598"/>
      <c r="D148" s="598"/>
      <c r="E148" s="532"/>
      <c r="F148" s="532"/>
      <c r="G148" s="532"/>
      <c r="H148" s="532"/>
      <c r="I148" s="532"/>
    </row>
    <row r="149" spans="1:9" ht="15.75" customHeight="1">
      <c r="A149" s="550"/>
      <c r="B149" s="550"/>
      <c r="C149" s="598"/>
      <c r="D149" s="598"/>
      <c r="E149" s="532"/>
      <c r="F149" s="532"/>
      <c r="G149" s="532"/>
      <c r="H149" s="532"/>
      <c r="I149" s="532"/>
    </row>
    <row r="150" spans="1:9" ht="15.75" customHeight="1">
      <c r="A150" s="550"/>
      <c r="B150" s="550"/>
      <c r="C150" s="532"/>
      <c r="D150" s="532"/>
      <c r="E150" s="532"/>
      <c r="F150" s="532"/>
      <c r="G150" s="532"/>
      <c r="H150" s="532"/>
      <c r="I150" s="532"/>
    </row>
    <row r="151" spans="1:9" ht="15.75" customHeight="1">
      <c r="A151" s="550"/>
      <c r="B151" s="550"/>
      <c r="C151" s="532"/>
      <c r="D151" s="532"/>
      <c r="E151" s="532"/>
      <c r="F151" s="532"/>
      <c r="G151" s="532"/>
      <c r="H151" s="532"/>
      <c r="I151" s="532"/>
    </row>
    <row r="152" spans="1:9" ht="15.75" customHeight="1">
      <c r="A152" s="550"/>
      <c r="B152" s="550"/>
      <c r="C152" s="570"/>
      <c r="D152" s="570"/>
      <c r="E152" s="570"/>
      <c r="F152" s="570"/>
      <c r="G152" s="570"/>
      <c r="H152" s="570"/>
      <c r="I152" s="532"/>
    </row>
    <row r="153" spans="1:9" ht="15.75" customHeight="1">
      <c r="A153" s="550"/>
      <c r="B153" s="550"/>
      <c r="C153" s="532"/>
      <c r="D153" s="532"/>
      <c r="E153" s="532"/>
      <c r="F153" s="532"/>
      <c r="G153" s="532"/>
      <c r="H153" s="532"/>
      <c r="I153" s="532"/>
    </row>
    <row r="154" spans="1:9" ht="15.75" customHeight="1">
      <c r="A154" s="550"/>
      <c r="B154" s="550"/>
      <c r="C154" s="532"/>
      <c r="D154" s="532"/>
      <c r="E154" s="532"/>
      <c r="F154" s="532"/>
      <c r="G154" s="532"/>
      <c r="H154" s="532"/>
      <c r="I154" s="532"/>
    </row>
    <row r="155" spans="1:9" ht="15.75" customHeight="1">
      <c r="A155" s="550"/>
      <c r="B155" s="550"/>
      <c r="C155" s="532"/>
      <c r="D155" s="532"/>
      <c r="E155" s="532"/>
      <c r="F155" s="532"/>
      <c r="G155" s="532"/>
      <c r="H155" s="532"/>
      <c r="I155" s="532"/>
    </row>
    <row r="156" spans="1:9" ht="15.75" customHeight="1">
      <c r="A156" s="550"/>
      <c r="B156" s="550"/>
      <c r="C156" s="532"/>
      <c r="D156" s="532"/>
      <c r="E156" s="532"/>
      <c r="F156" s="532"/>
      <c r="G156" s="532"/>
      <c r="H156" s="532"/>
      <c r="I156" s="532"/>
    </row>
    <row r="157" spans="1:9" ht="15.75" customHeight="1">
      <c r="A157" s="550"/>
      <c r="B157" s="550"/>
      <c r="C157" s="532"/>
      <c r="D157" s="532"/>
      <c r="E157" s="532"/>
      <c r="F157" s="532"/>
      <c r="G157" s="532"/>
      <c r="H157" s="532"/>
      <c r="I157" s="532"/>
    </row>
    <row r="158" spans="1:9" ht="15.75" customHeight="1">
      <c r="A158" s="550"/>
      <c r="B158" s="550"/>
      <c r="C158" s="532"/>
      <c r="D158" s="532"/>
      <c r="E158" s="532"/>
      <c r="F158" s="532"/>
      <c r="G158" s="532"/>
      <c r="H158" s="532"/>
      <c r="I158" s="532"/>
    </row>
    <row r="159" spans="1:9" ht="15.75" customHeight="1">
      <c r="A159" s="550"/>
      <c r="B159" s="550"/>
      <c r="C159" s="530"/>
      <c r="D159" s="598"/>
      <c r="E159" s="532"/>
      <c r="F159" s="532"/>
      <c r="G159" s="532"/>
      <c r="H159" s="532"/>
      <c r="I159" s="532"/>
    </row>
    <row r="160" spans="1:9" ht="15.75" customHeight="1">
      <c r="A160" s="550"/>
      <c r="B160" s="550"/>
      <c r="C160" s="598"/>
      <c r="D160" s="598"/>
      <c r="E160" s="532"/>
      <c r="F160" s="532"/>
      <c r="G160" s="532"/>
      <c r="H160" s="532"/>
      <c r="I160" s="532"/>
    </row>
    <row r="161" spans="1:9" ht="15.75" customHeight="1">
      <c r="A161" s="550"/>
      <c r="B161" s="550"/>
      <c r="C161" s="598"/>
      <c r="D161" s="598"/>
      <c r="E161" s="532"/>
      <c r="F161" s="570"/>
      <c r="G161" s="570"/>
      <c r="H161" s="570"/>
      <c r="I161" s="532"/>
    </row>
    <row r="162" spans="1:9" ht="15.75" customHeight="1">
      <c r="A162" s="550"/>
      <c r="B162" s="550"/>
      <c r="C162" s="598"/>
      <c r="D162" s="598"/>
      <c r="E162" s="532"/>
      <c r="F162" s="570"/>
      <c r="G162" s="570"/>
      <c r="H162" s="570"/>
      <c r="I162" s="532"/>
    </row>
    <row r="163" spans="1:9" ht="15.75" customHeight="1">
      <c r="A163" s="550"/>
      <c r="B163" s="550"/>
      <c r="C163" s="530"/>
      <c r="D163" s="575"/>
      <c r="E163" s="532"/>
      <c r="F163" s="532"/>
      <c r="G163" s="532"/>
      <c r="H163" s="532"/>
      <c r="I163" s="618"/>
    </row>
    <row r="164" spans="1:9" ht="15.75" customHeight="1">
      <c r="A164" s="550"/>
      <c r="B164" s="550"/>
      <c r="C164" s="530"/>
      <c r="D164" s="598"/>
      <c r="E164" s="532"/>
      <c r="F164" s="532"/>
      <c r="G164" s="532"/>
      <c r="H164" s="532"/>
      <c r="I164" s="532"/>
    </row>
    <row r="165" spans="1:9" ht="15.75" customHeight="1">
      <c r="A165" s="550"/>
      <c r="B165" s="550"/>
      <c r="C165" s="598"/>
      <c r="D165" s="598"/>
      <c r="E165" s="532"/>
      <c r="F165" s="532"/>
      <c r="G165" s="532"/>
      <c r="H165" s="532"/>
      <c r="I165" s="532"/>
    </row>
    <row r="166" spans="1:9" ht="15.75" customHeight="1">
      <c r="A166" s="550"/>
      <c r="B166" s="550"/>
      <c r="C166" s="593"/>
      <c r="D166" s="593"/>
      <c r="E166" s="570"/>
      <c r="F166" s="570"/>
      <c r="G166" s="570"/>
      <c r="H166" s="570"/>
      <c r="I166" s="532"/>
    </row>
    <row r="167" spans="1:9" ht="15.75" customHeight="1">
      <c r="A167" s="550"/>
      <c r="B167" s="550"/>
      <c r="C167" s="530"/>
      <c r="D167" s="598"/>
      <c r="E167" s="532"/>
      <c r="F167" s="532"/>
      <c r="G167" s="532"/>
      <c r="H167" s="618"/>
      <c r="I167" s="532"/>
    </row>
    <row r="168" spans="1:9" ht="15.75" customHeight="1">
      <c r="A168" s="550"/>
      <c r="B168" s="550"/>
      <c r="C168" s="530"/>
      <c r="D168" s="598"/>
      <c r="E168" s="532"/>
      <c r="F168" s="532"/>
      <c r="G168" s="532"/>
      <c r="H168" s="532"/>
      <c r="I168" s="532"/>
    </row>
    <row r="169" spans="1:9" ht="15.75" customHeight="1">
      <c r="A169" s="550"/>
      <c r="B169" s="550"/>
      <c r="C169" s="530"/>
      <c r="D169" s="598"/>
      <c r="E169" s="532"/>
      <c r="F169" s="532"/>
      <c r="G169" s="532"/>
      <c r="H169" s="532"/>
      <c r="I169" s="532"/>
    </row>
    <row r="170" spans="1:9" ht="15.75" customHeight="1">
      <c r="A170" s="550"/>
      <c r="B170" s="532"/>
      <c r="C170" s="530"/>
      <c r="D170" s="598"/>
      <c r="E170" s="532"/>
      <c r="F170" s="532"/>
      <c r="G170" s="532"/>
      <c r="H170" s="532"/>
      <c r="I170" s="532"/>
    </row>
    <row r="171" spans="1:9" ht="15.75" customHeight="1">
      <c r="A171" s="550"/>
      <c r="B171" s="550"/>
      <c r="C171" s="598"/>
      <c r="D171" s="598"/>
      <c r="E171" s="532"/>
      <c r="F171" s="532"/>
      <c r="G171" s="532"/>
      <c r="H171" s="532"/>
      <c r="I171" s="532"/>
    </row>
    <row r="172" spans="1:9" ht="15.75" customHeight="1">
      <c r="A172" s="550"/>
      <c r="B172" s="550"/>
      <c r="C172" s="593"/>
      <c r="D172" s="593"/>
      <c r="E172" s="570"/>
      <c r="F172" s="570"/>
      <c r="G172" s="532"/>
      <c r="H172" s="532"/>
      <c r="I172" s="532"/>
    </row>
    <row r="173" spans="1:9" ht="15.75" customHeight="1">
      <c r="A173" s="550"/>
      <c r="B173" s="550"/>
      <c r="C173" s="598"/>
      <c r="D173" s="598"/>
      <c r="E173" s="532"/>
      <c r="F173" s="532"/>
      <c r="G173" s="532"/>
      <c r="H173" s="532"/>
      <c r="I173" s="532"/>
    </row>
    <row r="174" spans="1:9" ht="15.75" customHeight="1">
      <c r="A174" s="550"/>
      <c r="B174" s="550"/>
      <c r="C174" s="530"/>
      <c r="D174" s="598"/>
      <c r="E174" s="532"/>
      <c r="F174" s="532"/>
      <c r="G174" s="532"/>
      <c r="H174" s="532"/>
      <c r="I174" s="532"/>
    </row>
    <row r="175" spans="1:9" ht="15.75" customHeight="1">
      <c r="A175" s="550"/>
      <c r="B175" s="550"/>
      <c r="C175" s="530"/>
      <c r="D175" s="598"/>
      <c r="E175" s="532"/>
      <c r="F175" s="532"/>
      <c r="G175" s="532"/>
      <c r="H175" s="532"/>
      <c r="I175" s="532"/>
    </row>
    <row r="176" spans="1:9" ht="15.75" customHeight="1">
      <c r="A176" s="550"/>
      <c r="B176" s="550"/>
      <c r="C176" s="239"/>
      <c r="D176" s="596"/>
      <c r="E176" s="596"/>
      <c r="F176" s="596"/>
      <c r="G176" s="596"/>
      <c r="H176" s="596"/>
      <c r="I176" s="239"/>
    </row>
    <row r="177" spans="1:9" ht="15.75" customHeight="1">
      <c r="A177" s="550"/>
      <c r="B177" s="550"/>
      <c r="C177" s="239"/>
      <c r="D177" s="596"/>
      <c r="E177" s="596"/>
      <c r="F177" s="596"/>
      <c r="G177" s="596"/>
      <c r="H177" s="596"/>
      <c r="I177" s="239"/>
    </row>
    <row r="178" spans="1:9" ht="15.75" customHeight="1">
      <c r="A178" s="550"/>
      <c r="B178" s="550"/>
      <c r="C178" s="616"/>
      <c r="D178" s="239"/>
      <c r="E178" s="239"/>
      <c r="F178" s="239"/>
      <c r="G178" s="239"/>
      <c r="H178" s="239"/>
      <c r="I178" s="239"/>
    </row>
    <row r="179" spans="1:9" ht="15.75" customHeight="1">
      <c r="A179" s="550"/>
      <c r="B179" s="550"/>
      <c r="C179" s="239"/>
      <c r="D179" s="239"/>
      <c r="E179" s="239"/>
      <c r="F179" s="239"/>
      <c r="G179" s="239"/>
      <c r="H179" s="239"/>
      <c r="I179" s="239"/>
    </row>
    <row r="180" spans="1:9" ht="15.75" customHeight="1">
      <c r="A180" s="550"/>
      <c r="B180" s="550"/>
      <c r="C180" s="239"/>
      <c r="D180" s="239"/>
      <c r="E180" s="239"/>
      <c r="F180" s="239"/>
      <c r="G180" s="239"/>
      <c r="H180" s="239"/>
      <c r="I180" s="239"/>
    </row>
    <row r="181" spans="1:9" ht="15.75" customHeight="1">
      <c r="A181" s="550"/>
      <c r="B181" s="550"/>
      <c r="C181" s="530"/>
      <c r="D181" s="598"/>
      <c r="E181" s="532"/>
      <c r="F181" s="532"/>
      <c r="G181" s="532"/>
      <c r="H181" s="532"/>
      <c r="I181" s="532"/>
    </row>
    <row r="182" spans="1:9" ht="15.75" customHeight="1">
      <c r="A182" s="550"/>
      <c r="B182" s="550"/>
      <c r="C182" s="530"/>
      <c r="D182" s="598"/>
      <c r="E182" s="532"/>
      <c r="F182" s="532"/>
      <c r="G182" s="532"/>
      <c r="H182" s="532"/>
      <c r="I182" s="532"/>
    </row>
    <row r="183" spans="1:9" ht="15.75" customHeight="1">
      <c r="A183" s="550"/>
      <c r="B183" s="550"/>
      <c r="C183" s="598"/>
      <c r="D183" s="598"/>
      <c r="E183" s="532"/>
      <c r="F183" s="532"/>
      <c r="G183" s="532"/>
      <c r="H183" s="532"/>
      <c r="I183" s="532"/>
    </row>
    <row r="184" spans="1:9" ht="15.75" customHeight="1">
      <c r="A184" s="550"/>
      <c r="B184" s="550"/>
      <c r="C184" s="593"/>
      <c r="D184" s="570"/>
      <c r="E184" s="593"/>
      <c r="F184" s="570"/>
      <c r="G184" s="570"/>
      <c r="H184" s="570"/>
      <c r="I184" s="532"/>
    </row>
    <row r="185" spans="1:9" ht="15.75" customHeight="1">
      <c r="A185" s="550"/>
      <c r="B185" s="550"/>
      <c r="C185" s="598"/>
      <c r="D185" s="532"/>
      <c r="E185" s="598"/>
      <c r="F185" s="532"/>
      <c r="G185" s="532"/>
      <c r="H185" s="532"/>
      <c r="I185" s="532"/>
    </row>
    <row r="186" spans="1:9" ht="15.75" customHeight="1">
      <c r="A186" s="550"/>
      <c r="B186" s="550"/>
      <c r="C186" s="598"/>
      <c r="D186" s="532"/>
      <c r="E186" s="598"/>
      <c r="F186" s="532"/>
      <c r="G186" s="532"/>
      <c r="H186" s="532"/>
      <c r="I186" s="532"/>
    </row>
    <row r="187" spans="1:9" ht="15.75" customHeight="1">
      <c r="A187" s="550"/>
      <c r="B187" s="550"/>
      <c r="C187" s="598"/>
      <c r="D187" s="532"/>
      <c r="E187" s="598"/>
      <c r="F187" s="598"/>
      <c r="G187" s="598"/>
      <c r="H187" s="598"/>
      <c r="I187" s="532"/>
    </row>
    <row r="188" spans="1:9" ht="15.75" customHeight="1">
      <c r="A188" s="550"/>
      <c r="B188" s="550"/>
      <c r="C188" s="598"/>
      <c r="D188" s="598"/>
      <c r="E188" s="532"/>
      <c r="F188" s="532"/>
      <c r="G188" s="532"/>
      <c r="H188" s="532"/>
      <c r="I188" s="532"/>
    </row>
    <row r="189" spans="1:9" ht="15.75" customHeight="1">
      <c r="A189" s="550"/>
      <c r="B189" s="550"/>
      <c r="C189" s="530"/>
      <c r="D189" s="598"/>
      <c r="E189" s="532"/>
      <c r="F189" s="532"/>
      <c r="G189" s="532"/>
      <c r="H189" s="532"/>
      <c r="I189" s="532"/>
    </row>
    <row r="190" spans="1:9" ht="15.75" customHeight="1">
      <c r="A190" s="550"/>
      <c r="B190" s="550"/>
      <c r="C190" s="598"/>
      <c r="D190" s="598"/>
      <c r="E190" s="532"/>
      <c r="F190" s="532"/>
      <c r="G190" s="532"/>
      <c r="H190" s="532"/>
      <c r="I190" s="532"/>
    </row>
    <row r="191" spans="1:9" ht="15.75" customHeight="1">
      <c r="A191" s="550"/>
      <c r="B191" s="550"/>
      <c r="C191" s="530"/>
      <c r="D191" s="598"/>
      <c r="E191" s="532"/>
      <c r="F191" s="532"/>
      <c r="G191" s="532"/>
      <c r="H191" s="532"/>
      <c r="I191" s="532"/>
    </row>
    <row r="192" spans="1:9" ht="15.75" customHeight="1">
      <c r="A192" s="550"/>
      <c r="B192" s="550"/>
      <c r="C192" s="598"/>
      <c r="D192" s="598"/>
      <c r="E192" s="532"/>
      <c r="F192" s="532"/>
      <c r="G192" s="532"/>
      <c r="H192" s="532"/>
      <c r="I192" s="532"/>
    </row>
    <row r="193" spans="1:9" ht="15.75" customHeight="1">
      <c r="A193" s="550"/>
      <c r="B193" s="550"/>
      <c r="C193" s="530"/>
      <c r="D193" s="598"/>
      <c r="E193" s="532"/>
      <c r="F193" s="532"/>
      <c r="G193" s="532"/>
      <c r="H193" s="532"/>
      <c r="I193" s="532"/>
    </row>
    <row r="194" spans="1:9" ht="15.75" customHeight="1">
      <c r="A194" s="550"/>
      <c r="B194" s="550"/>
      <c r="C194" s="598"/>
      <c r="D194" s="598"/>
      <c r="E194" s="532"/>
      <c r="F194" s="532"/>
      <c r="G194" s="532"/>
      <c r="H194" s="532"/>
      <c r="I194" s="532"/>
    </row>
    <row r="195" spans="1:9" ht="15.75" customHeight="1">
      <c r="A195" s="550"/>
      <c r="B195" s="550"/>
      <c r="C195" s="598"/>
      <c r="D195" s="598"/>
      <c r="E195" s="532"/>
      <c r="F195" s="532"/>
      <c r="G195" s="532"/>
      <c r="H195" s="532"/>
      <c r="I195" s="532"/>
    </row>
    <row r="196" spans="1:9" ht="15.75" customHeight="1">
      <c r="A196" s="550"/>
      <c r="B196" s="550"/>
      <c r="C196" s="530"/>
      <c r="D196" s="598"/>
      <c r="E196" s="532"/>
      <c r="F196" s="532"/>
      <c r="G196" s="532"/>
      <c r="H196" s="532"/>
      <c r="I196" s="532"/>
    </row>
    <row r="197" spans="1:9" ht="15.75" customHeight="1">
      <c r="A197" s="550"/>
      <c r="B197" s="550"/>
      <c r="C197" s="598"/>
      <c r="D197" s="598"/>
      <c r="E197" s="532"/>
      <c r="F197" s="532"/>
      <c r="G197" s="532"/>
      <c r="H197" s="532"/>
      <c r="I197" s="532"/>
    </row>
    <row r="198" spans="1:9" ht="15.75" customHeight="1">
      <c r="A198" s="550"/>
      <c r="B198" s="550"/>
      <c r="C198" s="598"/>
      <c r="D198" s="598"/>
      <c r="E198" s="532"/>
      <c r="F198" s="532"/>
      <c r="G198" s="532"/>
      <c r="H198" s="532"/>
      <c r="I198" s="532"/>
    </row>
    <row r="199" spans="1:9" ht="15.75" customHeight="1">
      <c r="A199" s="550"/>
      <c r="B199" s="550"/>
      <c r="C199" s="598"/>
      <c r="D199" s="598"/>
      <c r="E199" s="532"/>
      <c r="F199" s="532"/>
      <c r="G199" s="532"/>
      <c r="H199" s="532"/>
      <c r="I199" s="532"/>
    </row>
    <row r="200" spans="1:9" ht="15.75" customHeight="1">
      <c r="A200" s="550"/>
      <c r="B200" s="550"/>
      <c r="C200" s="530"/>
      <c r="D200" s="598"/>
      <c r="E200" s="532"/>
      <c r="F200" s="532"/>
      <c r="G200" s="532"/>
      <c r="H200" s="532"/>
      <c r="I200" s="532"/>
    </row>
    <row r="201" spans="1:9" ht="15.75" customHeight="1">
      <c r="A201" s="550"/>
      <c r="B201" s="550"/>
      <c r="C201" s="598"/>
      <c r="D201" s="598"/>
      <c r="E201" s="532"/>
      <c r="F201" s="532"/>
      <c r="G201" s="532"/>
      <c r="H201" s="532"/>
      <c r="I201" s="532"/>
    </row>
    <row r="202" spans="1:9" ht="15.75" customHeight="1">
      <c r="A202" s="550"/>
      <c r="B202" s="550"/>
      <c r="C202" s="593"/>
      <c r="D202" s="593"/>
      <c r="E202" s="593"/>
      <c r="F202" s="532"/>
      <c r="G202" s="532"/>
      <c r="H202" s="532"/>
      <c r="I202" s="532"/>
    </row>
    <row r="203" spans="1:9" ht="15.75" customHeight="1">
      <c r="A203" s="550"/>
      <c r="B203" s="550"/>
      <c r="C203" s="530"/>
      <c r="D203" s="575"/>
      <c r="E203" s="530"/>
      <c r="F203" s="532"/>
      <c r="G203" s="532"/>
      <c r="H203" s="532"/>
      <c r="I203" s="532"/>
    </row>
    <row r="204" spans="1:9" ht="15.75" customHeight="1">
      <c r="A204" s="550"/>
      <c r="B204" s="550"/>
      <c r="C204" s="530"/>
      <c r="D204" s="575"/>
      <c r="E204" s="530"/>
      <c r="F204" s="532"/>
      <c r="G204" s="532"/>
      <c r="H204" s="532"/>
      <c r="I204" s="532"/>
    </row>
    <row r="205" spans="1:9" ht="15.75" customHeight="1">
      <c r="A205" s="550"/>
      <c r="B205" s="550"/>
      <c r="C205" s="530"/>
      <c r="D205" s="575"/>
      <c r="E205" s="530"/>
      <c r="F205" s="532"/>
      <c r="G205" s="532"/>
      <c r="H205" s="532"/>
      <c r="I205" s="532"/>
    </row>
    <row r="206" spans="1:9" ht="15.75" customHeight="1">
      <c r="A206" s="550"/>
      <c r="B206" s="550"/>
      <c r="C206" s="530"/>
      <c r="D206" s="575"/>
      <c r="E206" s="532"/>
      <c r="F206" s="532"/>
      <c r="G206" s="532"/>
      <c r="H206" s="532"/>
      <c r="I206" s="532"/>
    </row>
    <row r="207" spans="1:9" ht="15.75" customHeight="1">
      <c r="A207" s="550"/>
      <c r="B207" s="550"/>
      <c r="C207" s="593"/>
      <c r="D207" s="593"/>
      <c r="E207" s="570"/>
      <c r="F207" s="532"/>
      <c r="G207" s="532"/>
      <c r="H207" s="532"/>
      <c r="I207" s="532"/>
    </row>
    <row r="208" spans="1:9" ht="15.75" customHeight="1">
      <c r="A208" s="550"/>
      <c r="B208" s="550"/>
      <c r="C208" s="598"/>
      <c r="D208" s="598"/>
      <c r="E208" s="532"/>
      <c r="F208" s="532"/>
      <c r="G208" s="532"/>
      <c r="H208" s="532"/>
      <c r="I208" s="532"/>
    </row>
    <row r="209" spans="1:9" ht="15.75" customHeight="1">
      <c r="A209" s="550"/>
      <c r="B209" s="550"/>
      <c r="C209" s="598"/>
      <c r="D209" s="598"/>
      <c r="E209" s="532"/>
      <c r="F209" s="532"/>
      <c r="G209" s="532"/>
      <c r="H209" s="532"/>
      <c r="I209" s="532"/>
    </row>
    <row r="210" spans="1:9" ht="15.75" customHeight="1">
      <c r="A210" s="550"/>
      <c r="B210" s="550"/>
      <c r="C210" s="530"/>
      <c r="D210" s="598"/>
      <c r="E210" s="532"/>
      <c r="F210" s="532"/>
      <c r="G210" s="532"/>
      <c r="H210" s="532"/>
      <c r="I210" s="532"/>
    </row>
    <row r="211" spans="1:9" ht="15.75" customHeight="1">
      <c r="A211" s="550"/>
      <c r="B211" s="550"/>
      <c r="C211" s="530"/>
      <c r="D211" s="598"/>
      <c r="E211" s="532"/>
      <c r="F211" s="532"/>
      <c r="G211" s="532"/>
      <c r="H211" s="532"/>
      <c r="I211" s="532"/>
    </row>
    <row r="212" spans="1:9" ht="15.75" customHeight="1">
      <c r="A212" s="550"/>
      <c r="B212" s="550"/>
      <c r="C212" s="598"/>
      <c r="D212" s="598"/>
      <c r="E212" s="532"/>
      <c r="F212" s="532"/>
      <c r="G212" s="532"/>
      <c r="H212" s="532"/>
      <c r="I212" s="532"/>
    </row>
    <row r="213" spans="1:9" ht="15.75" customHeight="1">
      <c r="A213" s="550"/>
      <c r="B213" s="550"/>
      <c r="C213" s="530"/>
      <c r="D213" s="598"/>
      <c r="E213" s="532"/>
      <c r="F213" s="532"/>
      <c r="G213" s="532"/>
      <c r="H213" s="532"/>
      <c r="I213" s="532"/>
    </row>
    <row r="214" spans="1:9" ht="15.75" customHeight="1">
      <c r="A214" s="550"/>
      <c r="B214" s="550"/>
      <c r="C214" s="530"/>
      <c r="D214" s="598"/>
      <c r="E214" s="532"/>
      <c r="F214" s="532"/>
      <c r="G214" s="532"/>
      <c r="H214" s="532"/>
      <c r="I214" s="532"/>
    </row>
    <row r="215" spans="1:9" ht="15.75" customHeight="1">
      <c r="A215" s="550"/>
      <c r="B215" s="550"/>
      <c r="C215" s="598"/>
      <c r="D215" s="598"/>
      <c r="E215" s="532"/>
      <c r="F215" s="532"/>
      <c r="G215" s="532"/>
      <c r="H215" s="532"/>
      <c r="I215" s="532"/>
    </row>
    <row r="216" spans="1:9" ht="15.75" customHeight="1">
      <c r="A216" s="550"/>
      <c r="B216" s="550"/>
      <c r="C216" s="598"/>
      <c r="D216" s="598"/>
      <c r="E216" s="532"/>
      <c r="F216" s="532"/>
      <c r="G216" s="532"/>
      <c r="H216" s="532"/>
      <c r="I216" s="532"/>
    </row>
    <row r="217" spans="1:9" ht="15.75" customHeight="1">
      <c r="A217" s="550"/>
      <c r="B217" s="550"/>
      <c r="C217" s="530"/>
      <c r="D217" s="598"/>
      <c r="E217" s="532"/>
      <c r="F217" s="532"/>
      <c r="G217" s="532"/>
      <c r="H217" s="532"/>
      <c r="I217" s="532"/>
    </row>
    <row r="218" spans="1:9" ht="15.75" customHeight="1">
      <c r="A218" s="550"/>
      <c r="B218" s="550"/>
      <c r="C218" s="530"/>
      <c r="D218" s="598"/>
      <c r="E218" s="532"/>
      <c r="F218" s="532"/>
      <c r="G218" s="532"/>
      <c r="H218" s="532"/>
      <c r="I218" s="532"/>
    </row>
    <row r="219" spans="1:9" ht="15.75" customHeight="1">
      <c r="A219" s="550"/>
      <c r="B219" s="550"/>
      <c r="C219" s="598"/>
      <c r="D219" s="598"/>
      <c r="E219" s="532"/>
      <c r="F219" s="532"/>
      <c r="G219" s="532"/>
      <c r="H219" s="532"/>
      <c r="I219" s="532"/>
    </row>
    <row r="220" spans="1:9" ht="15.75" customHeight="1">
      <c r="A220" s="550"/>
      <c r="B220" s="550"/>
      <c r="C220" s="598"/>
      <c r="D220" s="598"/>
      <c r="E220" s="532"/>
      <c r="F220" s="532"/>
      <c r="G220" s="532"/>
      <c r="H220" s="532"/>
      <c r="I220" s="532"/>
    </row>
    <row r="221" spans="1:9" ht="15.75" customHeight="1">
      <c r="A221" s="550"/>
      <c r="B221" s="550"/>
      <c r="C221" s="619"/>
      <c r="D221" s="619"/>
      <c r="E221" s="618"/>
      <c r="F221" s="532"/>
      <c r="G221" s="532"/>
      <c r="H221" s="532"/>
      <c r="I221" s="532"/>
    </row>
    <row r="222" spans="1:9" ht="15.75" customHeight="1">
      <c r="A222" s="550"/>
      <c r="B222" s="550"/>
      <c r="C222" s="598"/>
      <c r="D222" s="598"/>
      <c r="E222" s="532"/>
      <c r="F222" s="532"/>
      <c r="G222" s="532"/>
      <c r="H222" s="532"/>
      <c r="I222" s="532"/>
    </row>
    <row r="223" spans="1:9" ht="15.75" customHeight="1">
      <c r="A223" s="550"/>
      <c r="B223" s="550"/>
      <c r="C223" s="619"/>
      <c r="D223" s="619"/>
      <c r="E223" s="618"/>
      <c r="F223" s="532"/>
      <c r="G223" s="532"/>
      <c r="H223" s="532"/>
      <c r="I223" s="532"/>
    </row>
    <row r="224" spans="1:9" ht="15.75" customHeight="1">
      <c r="A224" s="550"/>
      <c r="B224" s="550"/>
      <c r="C224" s="598"/>
      <c r="D224" s="598"/>
      <c r="E224" s="532"/>
      <c r="F224" s="532"/>
      <c r="G224" s="532"/>
      <c r="H224" s="532"/>
      <c r="I224" s="532"/>
    </row>
    <row r="225" spans="1:9" ht="15.75" customHeight="1">
      <c r="A225" s="550"/>
      <c r="B225" s="550"/>
      <c r="C225" s="530"/>
      <c r="D225" s="598"/>
      <c r="E225" s="532"/>
      <c r="F225" s="532"/>
      <c r="G225" s="532"/>
      <c r="H225" s="532"/>
      <c r="I225" s="532"/>
    </row>
    <row r="226" spans="1:9" ht="15.75" customHeight="1">
      <c r="A226" s="550"/>
      <c r="B226" s="550"/>
      <c r="C226" s="530"/>
      <c r="D226" s="598"/>
      <c r="E226" s="532"/>
      <c r="F226" s="532"/>
      <c r="G226" s="532"/>
      <c r="H226" s="532"/>
      <c r="I226" s="532"/>
    </row>
    <row r="227" spans="1:9" ht="15.75" customHeight="1">
      <c r="A227" s="550"/>
      <c r="B227" s="550"/>
      <c r="C227" s="530"/>
      <c r="D227" s="598"/>
      <c r="E227" s="532"/>
      <c r="F227" s="532"/>
      <c r="G227" s="532"/>
      <c r="H227" s="532"/>
      <c r="I227" s="532"/>
    </row>
    <row r="228" spans="1:9" ht="15.75" customHeight="1">
      <c r="A228" s="550"/>
      <c r="B228" s="550"/>
      <c r="C228" s="530"/>
      <c r="D228" s="598"/>
      <c r="E228" s="532"/>
      <c r="F228" s="532"/>
      <c r="G228" s="532"/>
      <c r="H228" s="532"/>
      <c r="I228" s="532"/>
    </row>
    <row r="229" spans="1:9" ht="15.75" customHeight="1">
      <c r="A229" s="550"/>
      <c r="B229" s="550"/>
      <c r="C229" s="530"/>
      <c r="D229" s="598"/>
      <c r="E229" s="532"/>
      <c r="F229" s="532"/>
      <c r="G229" s="532"/>
      <c r="H229" s="532"/>
      <c r="I229" s="532"/>
    </row>
    <row r="230" spans="1:9" ht="15.75" customHeight="1">
      <c r="A230" s="550"/>
      <c r="B230" s="550"/>
      <c r="C230" s="530"/>
      <c r="D230" s="598"/>
      <c r="E230" s="532"/>
      <c r="F230" s="532"/>
      <c r="G230" s="532"/>
      <c r="H230" s="532"/>
      <c r="I230" s="532"/>
    </row>
    <row r="231" spans="1:9" ht="15.75" customHeight="1">
      <c r="A231" s="550"/>
      <c r="B231" s="550"/>
      <c r="C231" s="530"/>
      <c r="D231" s="598"/>
      <c r="E231" s="532"/>
      <c r="F231" s="532"/>
      <c r="G231" s="532"/>
      <c r="H231" s="532"/>
      <c r="I231" s="532"/>
    </row>
    <row r="232" spans="1:9" ht="15.75" customHeight="1">
      <c r="A232" s="550"/>
      <c r="B232" s="550"/>
      <c r="C232" s="530"/>
      <c r="D232" s="598"/>
      <c r="E232" s="532"/>
      <c r="F232" s="532"/>
      <c r="G232" s="532"/>
      <c r="H232" s="532"/>
      <c r="I232" s="532"/>
    </row>
    <row r="233" spans="1:9" ht="15.75" customHeight="1">
      <c r="A233" s="550"/>
      <c r="B233" s="550"/>
      <c r="C233" s="530"/>
      <c r="D233" s="598"/>
      <c r="E233" s="532"/>
      <c r="F233" s="532"/>
      <c r="G233" s="532"/>
      <c r="H233" s="532"/>
      <c r="I233" s="532"/>
    </row>
    <row r="234" spans="1:9" ht="15.75" customHeight="1">
      <c r="A234" s="550"/>
      <c r="B234" s="550"/>
      <c r="C234" s="530"/>
      <c r="D234" s="598"/>
      <c r="E234" s="532"/>
      <c r="F234" s="532"/>
      <c r="G234" s="532"/>
      <c r="H234" s="532"/>
      <c r="I234" s="532"/>
    </row>
    <row r="235" spans="1:9" ht="15.75" customHeight="1">
      <c r="A235" s="550"/>
      <c r="B235" s="550"/>
      <c r="C235" s="530"/>
      <c r="D235" s="598"/>
      <c r="E235" s="532"/>
      <c r="F235" s="532"/>
      <c r="G235" s="532"/>
      <c r="H235" s="532"/>
      <c r="I235" s="532"/>
    </row>
    <row r="236" spans="1:9" ht="15.75" customHeight="1">
      <c r="A236" s="550"/>
      <c r="B236" s="550"/>
      <c r="C236" s="530"/>
      <c r="D236" s="598"/>
      <c r="E236" s="532"/>
      <c r="F236" s="532"/>
      <c r="G236" s="532"/>
      <c r="H236" s="532"/>
      <c r="I236" s="532"/>
    </row>
    <row r="237" spans="1:9" ht="15.75" customHeight="1">
      <c r="A237" s="550"/>
      <c r="B237" s="550"/>
      <c r="C237" s="530"/>
      <c r="D237" s="598"/>
      <c r="E237" s="532"/>
      <c r="F237" s="532"/>
      <c r="G237" s="532"/>
      <c r="H237" s="532"/>
      <c r="I237" s="532"/>
    </row>
    <row r="238" spans="1:9" ht="15.75" customHeight="1">
      <c r="A238" s="550"/>
      <c r="B238" s="550"/>
      <c r="C238" s="530"/>
      <c r="D238" s="598"/>
      <c r="E238" s="532"/>
      <c r="F238" s="532"/>
      <c r="G238" s="532"/>
      <c r="H238" s="532"/>
      <c r="I238" s="532"/>
    </row>
    <row r="239" spans="1:9" ht="15.75" customHeight="1">
      <c r="A239" s="550"/>
      <c r="B239" s="550"/>
      <c r="C239" s="530"/>
      <c r="D239" s="598"/>
      <c r="E239" s="532"/>
      <c r="F239" s="532"/>
      <c r="G239" s="532"/>
      <c r="H239" s="532"/>
      <c r="I239" s="532"/>
    </row>
    <row r="240" spans="1:9" ht="15.75" customHeight="1">
      <c r="A240" s="550"/>
      <c r="B240" s="550"/>
      <c r="C240" s="530"/>
      <c r="D240" s="598"/>
      <c r="E240" s="532"/>
      <c r="F240" s="532"/>
      <c r="G240" s="532"/>
      <c r="H240" s="532"/>
      <c r="I240" s="532"/>
    </row>
    <row r="241" spans="1:9" ht="15.75" customHeight="1">
      <c r="A241" s="550"/>
      <c r="B241" s="550"/>
      <c r="C241" s="530"/>
      <c r="D241" s="598"/>
      <c r="E241" s="532"/>
      <c r="F241" s="532"/>
      <c r="G241" s="532"/>
      <c r="H241" s="532"/>
      <c r="I241" s="532"/>
    </row>
    <row r="242" spans="1:9" ht="15.75" customHeight="1">
      <c r="A242" s="550"/>
      <c r="B242" s="550"/>
      <c r="C242" s="530"/>
      <c r="D242" s="598"/>
      <c r="E242" s="532"/>
      <c r="F242" s="532"/>
      <c r="G242" s="532"/>
      <c r="H242" s="532"/>
      <c r="I242" s="532"/>
    </row>
    <row r="243" spans="1:9" ht="15.75" customHeight="1">
      <c r="A243" s="550"/>
      <c r="B243" s="550"/>
      <c r="C243" s="530"/>
      <c r="D243" s="598"/>
      <c r="E243" s="532"/>
      <c r="F243" s="532"/>
      <c r="G243" s="532"/>
      <c r="H243" s="532"/>
      <c r="I243" s="532"/>
    </row>
    <row r="244" spans="1:9" ht="15.75" customHeight="1">
      <c r="A244" s="550"/>
      <c r="B244" s="550"/>
      <c r="C244" s="530"/>
      <c r="D244" s="598"/>
      <c r="E244" s="532"/>
      <c r="F244" s="532"/>
      <c r="G244" s="532"/>
      <c r="H244" s="532"/>
      <c r="I244" s="532"/>
    </row>
    <row r="245" spans="1:9" ht="15.75" customHeight="1">
      <c r="A245" s="550"/>
      <c r="B245" s="550"/>
      <c r="C245" s="530"/>
      <c r="D245" s="598"/>
      <c r="E245" s="532"/>
      <c r="F245" s="532"/>
      <c r="G245" s="532"/>
      <c r="H245" s="532"/>
      <c r="I245" s="532"/>
    </row>
    <row r="246" spans="1:9" ht="15.75" customHeight="1">
      <c r="A246" s="550"/>
      <c r="B246" s="550"/>
      <c r="C246" s="530"/>
      <c r="D246" s="598"/>
      <c r="E246" s="532"/>
      <c r="F246" s="532"/>
      <c r="G246" s="532"/>
      <c r="H246" s="532"/>
      <c r="I246" s="532"/>
    </row>
    <row r="247" spans="1:9" ht="15.75" customHeight="1">
      <c r="A247" s="550"/>
      <c r="B247" s="550"/>
      <c r="C247" s="530"/>
      <c r="D247" s="598"/>
      <c r="E247" s="532"/>
      <c r="F247" s="532"/>
      <c r="G247" s="532"/>
      <c r="H247" s="532"/>
      <c r="I247" s="532"/>
    </row>
    <row r="248" spans="1:9" ht="15.75" customHeight="1">
      <c r="A248" s="550"/>
      <c r="B248" s="550"/>
      <c r="C248" s="530"/>
      <c r="D248" s="598"/>
      <c r="E248" s="532"/>
      <c r="F248" s="532"/>
      <c r="G248" s="532"/>
      <c r="H248" s="532"/>
      <c r="I248" s="532"/>
    </row>
    <row r="249" spans="1:9" ht="15.75" customHeight="1">
      <c r="A249" s="550"/>
      <c r="B249" s="550"/>
      <c r="C249" s="530"/>
      <c r="D249" s="598"/>
      <c r="E249" s="532"/>
      <c r="F249" s="532"/>
      <c r="G249" s="532"/>
      <c r="H249" s="532"/>
      <c r="I249" s="532"/>
    </row>
    <row r="250" spans="1:9" ht="15.75" customHeight="1">
      <c r="A250" s="550"/>
      <c r="B250" s="550"/>
      <c r="C250" s="530"/>
      <c r="D250" s="598"/>
      <c r="E250" s="532"/>
      <c r="F250" s="532"/>
      <c r="G250" s="532"/>
      <c r="H250" s="532"/>
      <c r="I250" s="532"/>
    </row>
    <row r="251" spans="1:9" ht="15.75" customHeight="1">
      <c r="A251" s="550"/>
      <c r="B251" s="550"/>
      <c r="C251" s="530"/>
      <c r="D251" s="598"/>
      <c r="E251" s="532"/>
      <c r="F251" s="532"/>
      <c r="G251" s="532"/>
      <c r="H251" s="532"/>
      <c r="I251" s="532"/>
    </row>
    <row r="252" spans="1:9" ht="15.75" customHeight="1">
      <c r="A252" s="550"/>
      <c r="B252" s="550"/>
      <c r="C252" s="530"/>
      <c r="D252" s="598"/>
      <c r="E252" s="532"/>
      <c r="F252" s="532"/>
      <c r="G252" s="532"/>
      <c r="H252" s="532"/>
      <c r="I252" s="532"/>
    </row>
    <row r="253" spans="1:9" ht="15.75" customHeight="1">
      <c r="A253" s="550"/>
      <c r="B253" s="550"/>
      <c r="C253" s="530"/>
      <c r="D253" s="598"/>
      <c r="E253" s="532"/>
      <c r="F253" s="532"/>
      <c r="G253" s="532"/>
      <c r="H253" s="532"/>
      <c r="I253" s="532"/>
    </row>
    <row r="254" spans="1:9" ht="15.75" customHeight="1">
      <c r="A254" s="550"/>
      <c r="B254" s="550"/>
      <c r="C254" s="530"/>
      <c r="D254" s="598"/>
      <c r="E254" s="532"/>
      <c r="F254" s="532"/>
      <c r="G254" s="532"/>
      <c r="H254" s="532"/>
      <c r="I254" s="532"/>
    </row>
    <row r="255" spans="1:9" ht="15.75" customHeight="1">
      <c r="A255" s="550"/>
      <c r="B255" s="550"/>
      <c r="C255" s="598"/>
      <c r="D255" s="598"/>
      <c r="E255" s="532"/>
      <c r="F255" s="532"/>
      <c r="G255" s="532"/>
      <c r="H255" s="532"/>
      <c r="I255" s="532"/>
    </row>
    <row r="256" spans="1:9" ht="15.75" customHeight="1">
      <c r="A256" s="550"/>
      <c r="B256" s="550"/>
      <c r="C256" s="598"/>
      <c r="D256" s="598"/>
      <c r="E256" s="532"/>
      <c r="F256" s="532"/>
      <c r="G256" s="532"/>
      <c r="H256" s="532"/>
      <c r="I256" s="532"/>
    </row>
    <row r="257" spans="1:9" ht="15.75" customHeight="1">
      <c r="A257" s="550"/>
      <c r="B257" s="550"/>
      <c r="C257" s="598"/>
      <c r="D257" s="598"/>
      <c r="E257" s="532"/>
      <c r="F257" s="532"/>
      <c r="G257" s="532"/>
      <c r="H257" s="532"/>
      <c r="I257" s="532"/>
    </row>
    <row r="258" spans="1:9" ht="15.75" customHeight="1">
      <c r="A258" s="550"/>
      <c r="B258" s="550"/>
      <c r="C258" s="598"/>
      <c r="D258" s="598"/>
      <c r="E258" s="532"/>
      <c r="F258" s="532"/>
      <c r="G258" s="532"/>
      <c r="H258" s="532"/>
      <c r="I258" s="532"/>
    </row>
    <row r="259" spans="1:9" ht="15.75" customHeight="1">
      <c r="A259" s="550"/>
      <c r="B259" s="550"/>
      <c r="C259" s="598"/>
      <c r="D259" s="598"/>
      <c r="E259" s="532"/>
      <c r="F259" s="532"/>
      <c r="G259" s="532"/>
      <c r="H259" s="532"/>
      <c r="I259" s="532"/>
    </row>
    <row r="260" spans="1:9" ht="15.75" customHeight="1">
      <c r="A260" s="550"/>
      <c r="B260" s="550"/>
      <c r="C260" s="598"/>
      <c r="D260" s="598"/>
      <c r="E260" s="532"/>
      <c r="F260" s="532"/>
      <c r="G260" s="532"/>
      <c r="H260" s="532"/>
      <c r="I260" s="532"/>
    </row>
    <row r="261" spans="1:9" ht="15.75" customHeight="1">
      <c r="A261" s="550"/>
      <c r="B261" s="550"/>
      <c r="C261" s="530"/>
      <c r="D261" s="598"/>
      <c r="E261" s="532"/>
      <c r="F261" s="532"/>
      <c r="G261" s="532"/>
      <c r="H261" s="532"/>
      <c r="I261" s="532"/>
    </row>
    <row r="262" spans="1:9" ht="15.75" customHeight="1">
      <c r="A262" s="550"/>
      <c r="B262" s="550"/>
      <c r="C262" s="530"/>
      <c r="D262" s="598"/>
      <c r="E262" s="532"/>
      <c r="F262" s="532"/>
      <c r="G262" s="532"/>
      <c r="H262" s="532"/>
      <c r="I262" s="532"/>
    </row>
    <row r="263" spans="1:9" ht="15.75" customHeight="1">
      <c r="A263" s="550"/>
      <c r="B263" s="550"/>
      <c r="C263" s="598"/>
      <c r="D263" s="598"/>
      <c r="E263" s="532"/>
      <c r="F263" s="532"/>
      <c r="G263" s="532"/>
      <c r="H263" s="532"/>
      <c r="I263" s="532"/>
    </row>
    <row r="264" spans="1:9" ht="15.75" customHeight="1">
      <c r="A264" s="550"/>
      <c r="B264" s="550"/>
      <c r="C264" s="598"/>
      <c r="D264" s="598"/>
      <c r="E264" s="532"/>
      <c r="F264" s="532"/>
      <c r="G264" s="532"/>
      <c r="H264" s="532"/>
      <c r="I264" s="532"/>
    </row>
    <row r="265" spans="1:9" ht="15.75" customHeight="1">
      <c r="A265" s="550"/>
      <c r="B265" s="550"/>
      <c r="C265" s="598"/>
      <c r="D265" s="598"/>
      <c r="E265" s="532"/>
      <c r="F265" s="532"/>
      <c r="G265" s="532"/>
      <c r="H265" s="532"/>
      <c r="I265" s="532"/>
    </row>
    <row r="266" spans="1:9" ht="15.75" customHeight="1">
      <c r="A266" s="550"/>
      <c r="B266" s="550"/>
      <c r="C266" s="598"/>
      <c r="D266" s="598"/>
      <c r="E266" s="532"/>
      <c r="F266" s="532"/>
      <c r="G266" s="532"/>
      <c r="H266" s="532"/>
      <c r="I266" s="532"/>
    </row>
    <row r="267" spans="1:9" ht="15.75" customHeight="1">
      <c r="A267" s="550"/>
      <c r="B267" s="550"/>
      <c r="C267" s="598"/>
      <c r="D267" s="598"/>
      <c r="E267" s="532"/>
      <c r="F267" s="532"/>
      <c r="G267" s="532"/>
      <c r="H267" s="532"/>
      <c r="I267" s="532"/>
    </row>
    <row r="268" spans="1:9" ht="15.75" customHeight="1">
      <c r="A268" s="550"/>
      <c r="B268" s="550"/>
      <c r="C268" s="598"/>
      <c r="D268" s="598"/>
      <c r="E268" s="532"/>
      <c r="F268" s="532"/>
      <c r="G268" s="532"/>
      <c r="H268" s="532"/>
      <c r="I268" s="532"/>
    </row>
    <row r="269" spans="1:9" ht="15.75" customHeight="1">
      <c r="A269" s="550"/>
      <c r="B269" s="550"/>
      <c r="C269" s="598"/>
      <c r="D269" s="598"/>
      <c r="E269" s="532"/>
      <c r="F269" s="532"/>
      <c r="G269" s="532"/>
      <c r="H269" s="532"/>
      <c r="I269" s="532"/>
    </row>
    <row r="270" spans="1:9" ht="15.75" customHeight="1">
      <c r="A270" s="550"/>
      <c r="B270" s="550"/>
      <c r="C270" s="598"/>
      <c r="D270" s="598"/>
      <c r="E270" s="532"/>
      <c r="F270" s="532"/>
      <c r="G270" s="532"/>
      <c r="H270" s="532"/>
      <c r="I270" s="532"/>
    </row>
    <row r="271" spans="1:9" ht="15.75" customHeight="1">
      <c r="A271" s="550"/>
      <c r="B271" s="550"/>
      <c r="C271" s="598"/>
      <c r="D271" s="598"/>
      <c r="E271" s="532"/>
      <c r="F271" s="532"/>
      <c r="G271" s="532"/>
      <c r="H271" s="532"/>
      <c r="I271" s="532"/>
    </row>
    <row r="272" spans="1:9" ht="15.75" customHeight="1">
      <c r="A272" s="550"/>
      <c r="B272" s="550"/>
      <c r="C272" s="598"/>
      <c r="D272" s="598"/>
      <c r="E272" s="532"/>
      <c r="F272" s="532"/>
      <c r="G272" s="532"/>
      <c r="H272" s="532"/>
      <c r="I272" s="532"/>
    </row>
    <row r="273" spans="1:9" ht="15.75" customHeight="1">
      <c r="A273" s="550"/>
      <c r="B273" s="550"/>
      <c r="C273" s="598"/>
      <c r="D273" s="598"/>
      <c r="E273" s="532"/>
      <c r="F273" s="532"/>
      <c r="G273" s="532"/>
      <c r="H273" s="532"/>
      <c r="I273" s="532"/>
    </row>
    <row r="274" spans="1:9" ht="15.75" customHeight="1">
      <c r="A274" s="550"/>
      <c r="B274" s="550"/>
      <c r="C274" s="598"/>
      <c r="D274" s="598"/>
      <c r="E274" s="532"/>
      <c r="F274" s="532"/>
      <c r="G274" s="532"/>
      <c r="H274" s="532"/>
      <c r="I274" s="532"/>
    </row>
    <row r="275" spans="1:9" ht="15.75" customHeight="1">
      <c r="A275" s="550"/>
      <c r="B275" s="550"/>
      <c r="C275" s="536"/>
      <c r="D275" s="532"/>
      <c r="E275" s="532"/>
      <c r="F275" s="532"/>
      <c r="G275" s="532"/>
      <c r="H275" s="532"/>
      <c r="I275" s="532"/>
    </row>
    <row r="276" spans="1:9" ht="15.75" customHeight="1">
      <c r="A276" s="550"/>
      <c r="B276" s="550"/>
      <c r="C276" s="598"/>
      <c r="D276" s="598"/>
      <c r="E276" s="598"/>
      <c r="F276" s="598"/>
      <c r="G276" s="598"/>
      <c r="H276" s="532"/>
      <c r="I276" s="532"/>
    </row>
    <row r="277" spans="1:9" ht="15.75" customHeight="1">
      <c r="A277" s="530"/>
      <c r="B277" s="530"/>
      <c r="C277" s="598"/>
      <c r="D277" s="598"/>
      <c r="E277" s="598"/>
      <c r="F277" s="598"/>
      <c r="G277" s="598"/>
      <c r="H277" s="532"/>
      <c r="I277" s="532"/>
    </row>
    <row r="278" spans="1:9" ht="15.75" customHeight="1">
      <c r="A278" s="530"/>
      <c r="B278" s="530"/>
      <c r="C278" s="598"/>
      <c r="D278" s="598"/>
      <c r="E278" s="598"/>
      <c r="F278" s="598"/>
      <c r="G278" s="598"/>
      <c r="H278" s="532"/>
      <c r="I278" s="532"/>
    </row>
    <row r="279" spans="1:9" ht="15.75" customHeight="1">
      <c r="A279" s="530"/>
      <c r="B279" s="530"/>
      <c r="C279" s="530"/>
      <c r="D279" s="598"/>
      <c r="E279" s="598"/>
      <c r="F279" s="598"/>
      <c r="G279" s="598"/>
      <c r="H279" s="532"/>
      <c r="I279" s="532"/>
    </row>
    <row r="280" spans="1:9" ht="15.75" customHeight="1">
      <c r="A280" s="530"/>
      <c r="B280" s="530"/>
      <c r="C280" s="598"/>
      <c r="D280" s="598"/>
      <c r="E280" s="598"/>
      <c r="F280" s="598"/>
      <c r="G280" s="598"/>
      <c r="H280" s="532"/>
      <c r="I280" s="532"/>
    </row>
    <row r="281" spans="1:9" ht="15.75" customHeight="1">
      <c r="A281" s="530"/>
      <c r="B281" s="530"/>
      <c r="C281" s="598"/>
      <c r="D281" s="598"/>
      <c r="E281" s="598"/>
      <c r="F281" s="598"/>
      <c r="G281" s="598"/>
      <c r="H281" s="532"/>
      <c r="I281" s="532"/>
    </row>
    <row r="282" spans="1:9" ht="15.75" customHeight="1">
      <c r="A282" s="530"/>
      <c r="B282" s="530"/>
      <c r="C282" s="530"/>
      <c r="D282" s="598"/>
      <c r="E282" s="598"/>
      <c r="F282" s="598"/>
      <c r="G282" s="532"/>
      <c r="H282" s="532"/>
      <c r="I282" s="532"/>
    </row>
    <row r="283" spans="1:9" ht="15.75" customHeight="1">
      <c r="A283" s="530"/>
      <c r="B283" s="530"/>
      <c r="C283" s="530"/>
      <c r="D283" s="598"/>
      <c r="E283" s="598"/>
      <c r="F283" s="598"/>
      <c r="G283" s="598"/>
      <c r="H283" s="532"/>
      <c r="I283" s="532"/>
    </row>
    <row r="284" spans="1:9" ht="15.75" customHeight="1">
      <c r="A284" s="530"/>
      <c r="B284" s="530"/>
      <c r="C284" s="598"/>
      <c r="D284" s="598"/>
      <c r="E284" s="598"/>
      <c r="F284" s="598"/>
      <c r="G284" s="598"/>
      <c r="H284" s="532"/>
      <c r="I284" s="532"/>
    </row>
    <row r="285" spans="1:9" ht="15.75" customHeight="1">
      <c r="A285" s="530"/>
      <c r="B285" s="530"/>
      <c r="C285" s="598"/>
      <c r="D285" s="598"/>
      <c r="E285" s="598"/>
      <c r="F285" s="598"/>
      <c r="G285" s="598"/>
      <c r="H285" s="532"/>
      <c r="I285" s="532"/>
    </row>
    <row r="286" spans="1:9" ht="15.75" customHeight="1">
      <c r="A286" s="530"/>
      <c r="B286" s="530"/>
      <c r="C286" s="598"/>
      <c r="D286" s="598"/>
      <c r="E286" s="598"/>
      <c r="F286" s="598"/>
      <c r="G286" s="598"/>
      <c r="H286" s="532"/>
      <c r="I286" s="532"/>
    </row>
    <row r="287" spans="1:9" ht="15.75" customHeight="1">
      <c r="A287" s="530"/>
      <c r="B287" s="530"/>
      <c r="C287" s="598"/>
      <c r="D287" s="598"/>
      <c r="E287" s="598"/>
      <c r="F287" s="598"/>
      <c r="G287" s="598"/>
      <c r="H287" s="532"/>
      <c r="I287" s="532"/>
    </row>
    <row r="288" spans="1:9" ht="15.75" customHeight="1">
      <c r="A288" s="530"/>
      <c r="B288" s="530"/>
      <c r="C288" s="598"/>
      <c r="D288" s="598"/>
      <c r="E288" s="598"/>
      <c r="F288" s="598"/>
      <c r="G288" s="598"/>
      <c r="H288" s="532"/>
      <c r="I288" s="532"/>
    </row>
    <row r="289" spans="1:9" ht="15.75" customHeight="1">
      <c r="A289" s="530"/>
      <c r="B289" s="530"/>
      <c r="C289" s="598"/>
      <c r="D289" s="598"/>
      <c r="E289" s="598"/>
      <c r="F289" s="598"/>
      <c r="G289" s="598"/>
      <c r="H289" s="532"/>
      <c r="I289" s="532"/>
    </row>
    <row r="290" spans="1:9" ht="15.75" customHeight="1">
      <c r="A290" s="530"/>
      <c r="B290" s="530"/>
      <c r="C290" s="598"/>
      <c r="D290" s="598"/>
      <c r="E290" s="598"/>
      <c r="F290" s="598"/>
      <c r="G290" s="598"/>
      <c r="H290" s="532"/>
      <c r="I290" s="532"/>
    </row>
    <row r="291" spans="1:9" ht="15.75" customHeight="1">
      <c r="A291" s="537"/>
      <c r="B291" s="537"/>
      <c r="C291" s="530"/>
      <c r="D291" s="598"/>
      <c r="E291" s="598"/>
      <c r="F291" s="598"/>
      <c r="G291" s="598"/>
      <c r="H291" s="532"/>
    </row>
    <row r="292" spans="1:9" ht="15.75" customHeight="1">
      <c r="A292" s="537"/>
      <c r="B292" s="537"/>
      <c r="C292" s="530"/>
      <c r="D292" s="598"/>
      <c r="E292" s="598"/>
      <c r="F292" s="598"/>
      <c r="G292" s="598"/>
      <c r="H292" s="532"/>
    </row>
    <row r="293" spans="1:9" ht="15.75" customHeight="1">
      <c r="A293" s="537"/>
      <c r="B293" s="537"/>
      <c r="C293" s="530"/>
      <c r="D293" s="598"/>
      <c r="E293" s="598"/>
      <c r="F293" s="598"/>
      <c r="G293" s="598"/>
      <c r="H293" s="532"/>
    </row>
    <row r="294" spans="1:9" ht="15.75" customHeight="1">
      <c r="A294" s="537"/>
      <c r="B294" s="537"/>
      <c r="C294" s="530"/>
      <c r="D294" s="598"/>
      <c r="E294" s="598"/>
      <c r="F294" s="598"/>
      <c r="G294" s="598"/>
      <c r="H294" s="532"/>
    </row>
    <row r="295" spans="1:9" ht="15.75" customHeight="1">
      <c r="A295" s="537"/>
      <c r="B295" s="537"/>
      <c r="C295" s="598"/>
      <c r="D295" s="598"/>
      <c r="E295" s="598"/>
      <c r="F295" s="598"/>
      <c r="G295" s="598"/>
      <c r="H295" s="532"/>
    </row>
    <row r="296" spans="1:9" ht="15.75" customHeight="1">
      <c r="A296" s="537"/>
      <c r="B296" s="537"/>
      <c r="C296" s="530"/>
      <c r="D296" s="598"/>
      <c r="E296" s="598"/>
      <c r="F296" s="598"/>
      <c r="G296" s="598"/>
      <c r="H296" s="532"/>
    </row>
    <row r="297" spans="1:9" ht="15.75" customHeight="1">
      <c r="A297" s="537"/>
      <c r="B297" s="537"/>
      <c r="C297" s="530"/>
      <c r="D297" s="598"/>
      <c r="E297" s="598"/>
      <c r="F297" s="598"/>
      <c r="G297" s="598"/>
      <c r="H297" s="532"/>
    </row>
    <row r="298" spans="1:9" ht="15.75" customHeight="1">
      <c r="A298" s="537"/>
      <c r="B298" s="537"/>
      <c r="C298" s="530"/>
      <c r="D298" s="598"/>
      <c r="E298" s="598"/>
      <c r="F298" s="598"/>
      <c r="G298" s="598"/>
      <c r="H298" s="532"/>
    </row>
    <row r="299" spans="1:9" ht="15.75" customHeight="1">
      <c r="A299" s="537"/>
      <c r="B299" s="537"/>
      <c r="C299" s="530"/>
      <c r="D299" s="598"/>
      <c r="E299" s="598"/>
      <c r="F299" s="598"/>
      <c r="G299" s="598"/>
      <c r="H299" s="532"/>
    </row>
    <row r="300" spans="1:9" ht="15.75" customHeight="1">
      <c r="A300" s="537"/>
      <c r="B300" s="537"/>
      <c r="C300" s="530"/>
      <c r="D300" s="598"/>
      <c r="E300" s="598"/>
      <c r="F300" s="598"/>
      <c r="G300" s="598"/>
      <c r="H300" s="532"/>
    </row>
    <row r="301" spans="1:9" ht="15.75" customHeight="1">
      <c r="A301" s="537"/>
      <c r="B301" s="537"/>
      <c r="C301" s="598"/>
      <c r="D301" s="598"/>
      <c r="E301" s="598"/>
      <c r="F301" s="598"/>
      <c r="G301" s="598"/>
      <c r="H301" s="532"/>
    </row>
    <row r="302" spans="1:9" ht="15.75" customHeight="1">
      <c r="A302" s="537"/>
      <c r="B302" s="537"/>
      <c r="C302" s="598"/>
      <c r="D302" s="598"/>
      <c r="E302" s="598"/>
      <c r="F302" s="598"/>
      <c r="G302" s="598"/>
      <c r="H302" s="532"/>
    </row>
    <row r="303" spans="1:9" ht="15.75" customHeight="1">
      <c r="A303" s="537"/>
      <c r="B303" s="537"/>
      <c r="C303" s="598"/>
      <c r="D303" s="598"/>
      <c r="E303" s="598"/>
      <c r="F303" s="598"/>
      <c r="G303" s="598"/>
      <c r="H303" s="532"/>
    </row>
    <row r="304" spans="1:9" ht="15.75" customHeight="1">
      <c r="A304" s="537"/>
      <c r="B304" s="537"/>
      <c r="C304" s="598"/>
      <c r="D304" s="598"/>
      <c r="E304" s="598"/>
      <c r="F304" s="598"/>
      <c r="G304" s="598"/>
      <c r="H304" s="532"/>
    </row>
    <row r="305" spans="1:8" ht="15.75" customHeight="1">
      <c r="A305" s="537"/>
      <c r="B305" s="537"/>
      <c r="C305" s="530"/>
      <c r="D305" s="598"/>
      <c r="E305" s="598"/>
      <c r="F305" s="598"/>
      <c r="G305" s="598"/>
      <c r="H305" s="532"/>
    </row>
    <row r="306" spans="1:8" ht="15.75" customHeight="1">
      <c r="A306" s="537"/>
      <c r="B306" s="537"/>
      <c r="C306" s="530"/>
      <c r="D306" s="598"/>
      <c r="E306" s="598"/>
      <c r="F306" s="598"/>
      <c r="G306" s="598"/>
      <c r="H306" s="532"/>
    </row>
    <row r="307" spans="1:8" ht="15.75" customHeight="1">
      <c r="A307" s="537"/>
      <c r="B307" s="537"/>
      <c r="C307" s="598"/>
      <c r="D307" s="598"/>
      <c r="E307" s="598"/>
      <c r="F307" s="598"/>
      <c r="G307" s="598"/>
      <c r="H307" s="532"/>
    </row>
    <row r="308" spans="1:8" ht="15.75" customHeight="1">
      <c r="A308" s="538"/>
      <c r="B308" s="538"/>
      <c r="C308" s="598"/>
      <c r="D308" s="598"/>
      <c r="E308" s="598"/>
      <c r="F308" s="598"/>
      <c r="G308" s="598"/>
      <c r="H308" s="532"/>
    </row>
    <row r="309" spans="1:8" ht="15.75" customHeight="1">
      <c r="A309" s="538"/>
      <c r="B309" s="538"/>
      <c r="C309" s="598"/>
      <c r="D309" s="598"/>
      <c r="E309" s="598"/>
      <c r="F309" s="598"/>
      <c r="G309" s="598"/>
      <c r="H309" s="532"/>
    </row>
    <row r="310" spans="1:8" ht="15.75" customHeight="1">
      <c r="A310" s="538"/>
      <c r="B310" s="538"/>
      <c r="C310" s="598"/>
      <c r="D310" s="598"/>
      <c r="E310" s="598"/>
      <c r="F310" s="598"/>
      <c r="G310" s="598"/>
      <c r="H310" s="532"/>
    </row>
    <row r="311" spans="1:8" ht="15.75" customHeight="1">
      <c r="A311" s="538"/>
      <c r="B311" s="538"/>
      <c r="C311" s="598"/>
      <c r="D311" s="598"/>
      <c r="E311" s="598"/>
      <c r="F311" s="598"/>
      <c r="G311" s="598"/>
      <c r="H311" s="532"/>
    </row>
    <row r="312" spans="1:8" ht="15.75" customHeight="1">
      <c r="A312" s="538"/>
      <c r="B312" s="538"/>
      <c r="C312" s="598"/>
      <c r="D312" s="598"/>
      <c r="E312" s="598"/>
      <c r="F312" s="598"/>
      <c r="G312" s="598"/>
      <c r="H312" s="532"/>
    </row>
    <row r="313" spans="1:8" ht="15.75" customHeight="1">
      <c r="A313" s="538"/>
      <c r="B313" s="538"/>
      <c r="C313" s="530"/>
      <c r="D313" s="598"/>
      <c r="E313" s="598"/>
      <c r="F313" s="598"/>
      <c r="G313" s="598"/>
      <c r="H313" s="532"/>
    </row>
    <row r="314" spans="1:8" ht="15.75" customHeight="1">
      <c r="A314" s="538"/>
      <c r="B314" s="538"/>
      <c r="C314" s="530"/>
      <c r="D314" s="598"/>
      <c r="E314" s="598"/>
      <c r="F314" s="598"/>
      <c r="G314" s="598"/>
      <c r="H314" s="532"/>
    </row>
    <row r="315" spans="1:8" ht="15.75" customHeight="1">
      <c r="A315" s="538"/>
      <c r="B315" s="538"/>
      <c r="C315" s="598"/>
      <c r="D315" s="598"/>
      <c r="E315" s="598"/>
      <c r="F315" s="598"/>
      <c r="G315" s="598"/>
      <c r="H315" s="532"/>
    </row>
    <row r="316" spans="1:8" ht="15.75" customHeight="1">
      <c r="A316" s="539"/>
      <c r="B316" s="539"/>
      <c r="C316" s="532"/>
      <c r="D316" s="532"/>
      <c r="E316" s="532"/>
      <c r="F316" s="532"/>
      <c r="G316" s="532"/>
      <c r="H316" s="532"/>
    </row>
    <row r="317" spans="1:8" ht="15.75" customHeight="1">
      <c r="A317" s="539"/>
      <c r="B317" s="539"/>
      <c r="C317" s="532"/>
      <c r="D317" s="532"/>
      <c r="E317" s="532"/>
      <c r="F317" s="532"/>
      <c r="G317" s="532"/>
      <c r="H317" s="532"/>
    </row>
    <row r="318" spans="1:8" ht="15.75" customHeight="1">
      <c r="A318" s="539"/>
      <c r="B318" s="539"/>
      <c r="C318" s="598"/>
      <c r="D318" s="598"/>
      <c r="E318" s="532"/>
      <c r="F318" s="532"/>
      <c r="G318" s="532"/>
      <c r="H318" s="532"/>
    </row>
    <row r="319" spans="1:8" ht="15.75" customHeight="1">
      <c r="A319" s="539"/>
      <c r="B319" s="539"/>
      <c r="C319" s="532"/>
      <c r="D319" s="532"/>
      <c r="E319" s="532"/>
      <c r="F319" s="532"/>
      <c r="G319" s="532"/>
      <c r="H319" s="532"/>
    </row>
    <row r="320" spans="1:8" ht="15.75" customHeight="1">
      <c r="A320" s="540"/>
      <c r="B320" s="540"/>
      <c r="C320" s="541"/>
      <c r="D320" s="536"/>
      <c r="E320" s="536"/>
      <c r="F320" s="532"/>
      <c r="G320" s="532"/>
      <c r="H320" s="532"/>
    </row>
    <row r="321" spans="1:8" ht="15.75" customHeight="1">
      <c r="A321" s="529"/>
      <c r="B321" s="529"/>
      <c r="C321" s="536"/>
      <c r="D321" s="536"/>
      <c r="E321" s="536"/>
      <c r="F321" s="532"/>
      <c r="G321" s="532"/>
      <c r="H321" s="532"/>
    </row>
    <row r="322" spans="1:8" ht="15.75" customHeight="1">
      <c r="A322" s="539"/>
      <c r="B322" s="539"/>
      <c r="C322" s="532"/>
      <c r="D322" s="532"/>
      <c r="E322" s="532"/>
      <c r="F322" s="532"/>
      <c r="G322" s="532"/>
      <c r="H322" s="532"/>
    </row>
    <row r="323" spans="1:8" ht="15.75" customHeight="1">
      <c r="A323" s="539"/>
      <c r="B323" s="539"/>
      <c r="C323" s="532"/>
      <c r="D323" s="532"/>
      <c r="E323" s="532"/>
      <c r="F323" s="532"/>
      <c r="G323" s="532"/>
      <c r="H323" s="532"/>
    </row>
    <row r="324" spans="1:8" s="544" customFormat="1" ht="15.75" customHeight="1">
      <c r="A324" s="542"/>
      <c r="B324" s="542"/>
      <c r="C324" s="543"/>
      <c r="D324" s="543"/>
      <c r="E324" s="543"/>
      <c r="F324" s="536"/>
      <c r="G324" s="536"/>
      <c r="H324" s="536"/>
    </row>
    <row r="325" spans="1:8" s="544" customFormat="1" ht="15.75" customHeight="1">
      <c r="A325" s="529"/>
      <c r="B325" s="529"/>
      <c r="C325" s="536"/>
      <c r="D325" s="536"/>
      <c r="E325" s="536"/>
      <c r="F325" s="536"/>
      <c r="G325" s="536"/>
      <c r="H325" s="536"/>
    </row>
    <row r="326" spans="1:8" s="544" customFormat="1" ht="15.75" customHeight="1">
      <c r="A326" s="542"/>
      <c r="B326" s="542"/>
      <c r="C326" s="536"/>
      <c r="D326" s="536"/>
      <c r="E326" s="536"/>
      <c r="F326" s="536"/>
      <c r="G326" s="536"/>
      <c r="H326" s="536"/>
    </row>
    <row r="327" spans="1:8" s="544" customFormat="1" ht="15.75" customHeight="1">
      <c r="A327" s="540"/>
      <c r="B327" s="540"/>
      <c r="C327" s="536"/>
      <c r="D327" s="536"/>
      <c r="E327" s="536"/>
      <c r="F327" s="536"/>
      <c r="G327" s="536"/>
      <c r="H327" s="536"/>
    </row>
    <row r="328" spans="1:8" s="544" customFormat="1" ht="15.75" customHeight="1">
      <c r="A328" s="529"/>
      <c r="B328" s="529"/>
      <c r="C328" s="536"/>
      <c r="D328" s="536"/>
      <c r="E328" s="536"/>
      <c r="F328" s="536"/>
      <c r="G328" s="536"/>
      <c r="H328" s="536"/>
    </row>
    <row r="329" spans="1:8" s="544" customFormat="1" ht="15.75" customHeight="1">
      <c r="A329" s="529"/>
      <c r="B329" s="529"/>
      <c r="C329" s="536"/>
      <c r="D329" s="536"/>
      <c r="E329" s="536"/>
      <c r="F329" s="536"/>
      <c r="G329" s="536"/>
      <c r="H329" s="536"/>
    </row>
    <row r="330" spans="1:8" s="544" customFormat="1" ht="15.75" customHeight="1">
      <c r="A330" s="529"/>
      <c r="B330" s="529"/>
      <c r="C330" s="536"/>
      <c r="D330" s="536"/>
      <c r="E330" s="536"/>
      <c r="F330" s="536"/>
      <c r="G330" s="536"/>
      <c r="H330" s="536"/>
    </row>
    <row r="331" spans="1:8" ht="15.75" customHeight="1">
      <c r="A331" s="545"/>
      <c r="B331" s="545"/>
      <c r="C331" s="536"/>
      <c r="D331" s="532"/>
      <c r="E331" s="532"/>
      <c r="F331" s="532"/>
      <c r="G331" s="532"/>
      <c r="H331" s="532"/>
    </row>
    <row r="332" spans="1:8" ht="15.75" customHeight="1">
      <c r="A332" s="545"/>
      <c r="B332" s="545"/>
      <c r="C332" s="532"/>
      <c r="D332" s="532"/>
      <c r="E332" s="532"/>
      <c r="F332" s="532"/>
      <c r="G332" s="532"/>
      <c r="H332" s="532"/>
    </row>
    <row r="333" spans="1:8" ht="15.75" customHeight="1">
      <c r="A333" s="545"/>
      <c r="B333" s="545"/>
      <c r="C333" s="532"/>
      <c r="D333" s="532"/>
      <c r="E333" s="532"/>
      <c r="F333" s="532"/>
      <c r="G333" s="532"/>
      <c r="H333" s="532"/>
    </row>
    <row r="334" spans="1:8" ht="15.75" customHeight="1">
      <c r="A334" s="545"/>
      <c r="B334" s="545"/>
      <c r="C334" s="532"/>
      <c r="D334" s="532"/>
      <c r="E334" s="532"/>
      <c r="F334" s="532"/>
      <c r="G334" s="532"/>
      <c r="H334" s="532"/>
    </row>
    <row r="335" spans="1:8" ht="15.75" customHeight="1">
      <c r="A335" s="545"/>
      <c r="B335" s="545"/>
      <c r="C335" s="532"/>
      <c r="D335" s="532"/>
      <c r="E335" s="532"/>
      <c r="F335" s="532"/>
      <c r="G335" s="532"/>
      <c r="H335" s="532"/>
    </row>
    <row r="336" spans="1:8" ht="15.75" customHeight="1">
      <c r="A336" s="545"/>
      <c r="B336" s="545"/>
      <c r="C336" s="532"/>
      <c r="D336" s="532"/>
      <c r="E336" s="532"/>
      <c r="F336" s="532"/>
      <c r="G336" s="532"/>
      <c r="H336" s="532"/>
    </row>
    <row r="337" spans="1:8" ht="15.75" customHeight="1">
      <c r="A337" s="545"/>
      <c r="B337" s="545"/>
      <c r="C337" s="532"/>
      <c r="D337" s="532"/>
      <c r="E337" s="532"/>
      <c r="F337" s="532"/>
      <c r="G337" s="532"/>
      <c r="H337" s="532"/>
    </row>
    <row r="338" spans="1:8" ht="15.75" customHeight="1">
      <c r="A338" s="545"/>
      <c r="B338" s="545"/>
      <c r="C338" s="532"/>
      <c r="D338" s="532"/>
      <c r="E338" s="532"/>
      <c r="F338" s="532"/>
      <c r="G338" s="532"/>
      <c r="H338" s="532"/>
    </row>
    <row r="339" spans="1:8" ht="15.75" customHeight="1">
      <c r="C339" s="532"/>
      <c r="D339" s="532"/>
      <c r="E339" s="532"/>
      <c r="F339" s="532"/>
      <c r="G339" s="532"/>
      <c r="H339" s="532"/>
    </row>
    <row r="340" spans="1:8" ht="15.75" customHeight="1">
      <c r="C340" s="532"/>
      <c r="D340" s="532"/>
      <c r="E340" s="532"/>
      <c r="F340" s="532"/>
      <c r="G340" s="532"/>
      <c r="H340" s="532"/>
    </row>
    <row r="341" spans="1:8" ht="15.75" customHeight="1">
      <c r="C341" s="532"/>
      <c r="D341" s="532"/>
      <c r="E341" s="532"/>
      <c r="F341" s="532"/>
      <c r="G341" s="532"/>
      <c r="H341" s="532"/>
    </row>
    <row r="342" spans="1:8" ht="15.75" customHeight="1">
      <c r="C342" s="532"/>
      <c r="D342" s="532"/>
      <c r="E342" s="532"/>
      <c r="F342" s="532"/>
      <c r="G342" s="532"/>
      <c r="H342" s="532"/>
    </row>
    <row r="343" spans="1:8" ht="15.75" customHeight="1">
      <c r="C343" s="532"/>
      <c r="D343" s="532"/>
      <c r="E343" s="532"/>
      <c r="F343" s="532"/>
      <c r="G343" s="532"/>
      <c r="H343" s="532"/>
    </row>
    <row r="344" spans="1:8" ht="15.75" customHeight="1">
      <c r="C344" s="532"/>
      <c r="D344" s="532"/>
      <c r="E344" s="532"/>
      <c r="F344" s="532"/>
      <c r="G344" s="532"/>
      <c r="H344" s="532"/>
    </row>
    <row r="345" spans="1:8" ht="15.75" customHeight="1">
      <c r="C345" s="532"/>
      <c r="D345" s="532"/>
      <c r="E345" s="532"/>
      <c r="F345" s="532"/>
      <c r="G345" s="532"/>
      <c r="H345" s="532"/>
    </row>
    <row r="346" spans="1:8" ht="15.75" customHeight="1">
      <c r="C346" s="532"/>
      <c r="D346" s="532"/>
      <c r="E346" s="532"/>
      <c r="F346" s="532"/>
      <c r="G346" s="532"/>
      <c r="H346" s="532"/>
    </row>
    <row r="347" spans="1:8" ht="15.75" customHeight="1">
      <c r="C347" s="532"/>
      <c r="D347" s="532"/>
      <c r="E347" s="532"/>
      <c r="F347" s="532"/>
      <c r="G347" s="532"/>
      <c r="H347" s="532"/>
    </row>
    <row r="348" spans="1:8" ht="15.75" customHeight="1">
      <c r="C348" s="532"/>
      <c r="D348" s="532"/>
      <c r="E348" s="532"/>
      <c r="F348" s="532"/>
      <c r="G348" s="532"/>
      <c r="H348" s="532"/>
    </row>
    <row r="349" spans="1:8" ht="15.75" customHeight="1">
      <c r="C349" s="532"/>
      <c r="D349" s="532"/>
      <c r="E349" s="532"/>
      <c r="F349" s="532"/>
      <c r="G349" s="532"/>
      <c r="H349" s="532"/>
    </row>
    <row r="350" spans="1:8" ht="15.75" customHeight="1">
      <c r="C350" s="532"/>
      <c r="D350" s="532"/>
      <c r="E350" s="532"/>
      <c r="F350" s="532"/>
      <c r="G350" s="532"/>
      <c r="H350" s="532"/>
    </row>
    <row r="351" spans="1:8" ht="15.75" customHeight="1">
      <c r="C351" s="532"/>
      <c r="D351" s="532"/>
      <c r="E351" s="532"/>
      <c r="F351" s="532"/>
      <c r="G351" s="532"/>
      <c r="H351" s="532"/>
    </row>
    <row r="352" spans="1:8" ht="15.75" customHeight="1">
      <c r="C352" s="532"/>
      <c r="D352" s="532"/>
      <c r="E352" s="532"/>
      <c r="F352" s="532"/>
      <c r="G352" s="532"/>
      <c r="H352" s="532"/>
    </row>
    <row r="353" spans="3:8" ht="15.75" customHeight="1">
      <c r="C353" s="532"/>
      <c r="D353" s="532"/>
      <c r="E353" s="532"/>
      <c r="F353" s="532"/>
      <c r="G353" s="532"/>
      <c r="H353" s="532"/>
    </row>
    <row r="354" spans="3:8" ht="15.75" customHeight="1">
      <c r="C354" s="532"/>
      <c r="D354" s="532"/>
      <c r="E354" s="532"/>
      <c r="F354" s="532"/>
      <c r="G354" s="532"/>
      <c r="H354" s="532"/>
    </row>
    <row r="355" spans="3:8" ht="15.75" customHeight="1">
      <c r="C355" s="532"/>
      <c r="D355" s="532"/>
      <c r="E355" s="532"/>
      <c r="F355" s="532"/>
      <c r="G355" s="532"/>
      <c r="H355" s="532"/>
    </row>
    <row r="356" spans="3:8" ht="15.75" customHeight="1">
      <c r="C356" s="532"/>
      <c r="D356" s="532"/>
      <c r="E356" s="532"/>
      <c r="F356" s="532"/>
      <c r="G356" s="532"/>
      <c r="H356" s="532"/>
    </row>
    <row r="357" spans="3:8" ht="15.75" customHeight="1">
      <c r="C357" s="532"/>
      <c r="D357" s="532"/>
      <c r="E357" s="532"/>
      <c r="F357" s="532"/>
      <c r="G357" s="532"/>
      <c r="H357" s="532"/>
    </row>
    <row r="358" spans="3:8" ht="15.75" customHeight="1">
      <c r="C358" s="532"/>
      <c r="D358" s="532"/>
      <c r="E358" s="532"/>
      <c r="F358" s="532"/>
      <c r="G358" s="532"/>
      <c r="H358" s="532"/>
    </row>
    <row r="359" spans="3:8" ht="15.75" customHeight="1">
      <c r="C359" s="532"/>
      <c r="D359" s="532"/>
      <c r="E359" s="532"/>
      <c r="F359" s="532"/>
      <c r="G359" s="532"/>
      <c r="H359" s="532"/>
    </row>
    <row r="360" spans="3:8" ht="15.75" customHeight="1">
      <c r="C360" s="532"/>
      <c r="D360" s="532"/>
      <c r="E360" s="532"/>
      <c r="F360" s="532"/>
      <c r="G360" s="532"/>
      <c r="H360" s="532"/>
    </row>
    <row r="361" spans="3:8" ht="15.75" customHeight="1">
      <c r="C361" s="532"/>
      <c r="D361" s="532"/>
      <c r="E361" s="532"/>
      <c r="F361" s="532"/>
      <c r="G361" s="532"/>
      <c r="H361" s="532"/>
    </row>
    <row r="362" spans="3:8" ht="15.75" customHeight="1">
      <c r="C362" s="532"/>
      <c r="D362" s="532"/>
      <c r="E362" s="532"/>
      <c r="F362" s="532"/>
      <c r="G362" s="532"/>
      <c r="H362" s="532"/>
    </row>
    <row r="363" spans="3:8" ht="15.75" customHeight="1">
      <c r="C363" s="532"/>
      <c r="D363" s="532"/>
      <c r="E363" s="532"/>
      <c r="F363" s="532"/>
      <c r="G363" s="532"/>
      <c r="H363" s="532"/>
    </row>
    <row r="364" spans="3:8" ht="15.75" customHeight="1">
      <c r="C364" s="532"/>
      <c r="D364" s="532"/>
      <c r="E364" s="532"/>
      <c r="F364" s="532"/>
      <c r="G364" s="532"/>
      <c r="H364" s="532"/>
    </row>
    <row r="365" spans="3:8" ht="15.75" customHeight="1">
      <c r="C365" s="532"/>
      <c r="D365" s="532"/>
      <c r="E365" s="532"/>
      <c r="F365" s="532"/>
      <c r="G365" s="532"/>
      <c r="H365" s="532"/>
    </row>
    <row r="366" spans="3:8" ht="15.75" customHeight="1">
      <c r="C366" s="532"/>
      <c r="D366" s="532"/>
      <c r="E366" s="532"/>
      <c r="F366" s="532"/>
      <c r="G366" s="532"/>
      <c r="H366" s="532"/>
    </row>
    <row r="367" spans="3:8" ht="15.75" customHeight="1">
      <c r="C367" s="532"/>
      <c r="D367" s="532"/>
      <c r="E367" s="532"/>
      <c r="F367" s="532"/>
      <c r="G367" s="532"/>
      <c r="H367" s="532"/>
    </row>
    <row r="368" spans="3:8" ht="15.75" customHeight="1">
      <c r="C368" s="532"/>
      <c r="D368" s="532"/>
      <c r="E368" s="532"/>
      <c r="F368" s="532"/>
      <c r="G368" s="532"/>
      <c r="H368" s="532"/>
    </row>
  </sheetData>
  <mergeCells count="5">
    <mergeCell ref="C23:C24"/>
    <mergeCell ref="C40:C46"/>
    <mergeCell ref="E2:E3"/>
    <mergeCell ref="F2:F3"/>
    <mergeCell ref="G2:G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10"/>
  </sheetPr>
  <dimension ref="A1:Y124"/>
  <sheetViews>
    <sheetView showGridLines="0" workbookViewId="0">
      <selection activeCell="D13" sqref="D13"/>
    </sheetView>
  </sheetViews>
  <sheetFormatPr defaultRowHeight="16.5"/>
  <cols>
    <col min="1" max="1" width="27" style="738" customWidth="1"/>
    <col min="2" max="5" width="17.75" style="738" customWidth="1"/>
    <col min="6" max="6" width="17" style="738" bestFit="1" customWidth="1"/>
    <col min="7" max="7" width="17" style="737" customWidth="1"/>
    <col min="8" max="8" width="17" style="738" customWidth="1"/>
    <col min="9" max="9" width="22.875" style="738" bestFit="1" customWidth="1"/>
    <col min="10" max="10" width="17" style="738" customWidth="1"/>
    <col min="11" max="11" width="22.875" style="738" bestFit="1" customWidth="1"/>
    <col min="12" max="13" width="17" style="738" customWidth="1"/>
    <col min="14" max="14" width="21.875" style="738" bestFit="1" customWidth="1"/>
    <col min="15" max="15" width="17" style="738" customWidth="1"/>
    <col min="16" max="16" width="27.875" style="738" customWidth="1"/>
    <col min="17" max="25" width="17" style="738" customWidth="1"/>
    <col min="26" max="256" width="9" style="738"/>
    <col min="257" max="257" width="27" style="738" customWidth="1"/>
    <col min="258" max="261" width="17.75" style="738" customWidth="1"/>
    <col min="262" max="262" width="17" style="738" bestFit="1" customWidth="1"/>
    <col min="263" max="264" width="17" style="738" customWidth="1"/>
    <col min="265" max="265" width="22.875" style="738" bestFit="1" customWidth="1"/>
    <col min="266" max="266" width="17" style="738" customWidth="1"/>
    <col min="267" max="267" width="22.875" style="738" bestFit="1" customWidth="1"/>
    <col min="268" max="269" width="17" style="738" customWidth="1"/>
    <col min="270" max="270" width="21.875" style="738" bestFit="1" customWidth="1"/>
    <col min="271" max="271" width="17" style="738" customWidth="1"/>
    <col min="272" max="272" width="27.875" style="738" customWidth="1"/>
    <col min="273" max="281" width="17" style="738" customWidth="1"/>
    <col min="282" max="512" width="9" style="738"/>
    <col min="513" max="513" width="27" style="738" customWidth="1"/>
    <col min="514" max="517" width="17.75" style="738" customWidth="1"/>
    <col min="518" max="518" width="17" style="738" bestFit="1" customWidth="1"/>
    <col min="519" max="520" width="17" style="738" customWidth="1"/>
    <col min="521" max="521" width="22.875" style="738" bestFit="1" customWidth="1"/>
    <col min="522" max="522" width="17" style="738" customWidth="1"/>
    <col min="523" max="523" width="22.875" style="738" bestFit="1" customWidth="1"/>
    <col min="524" max="525" width="17" style="738" customWidth="1"/>
    <col min="526" max="526" width="21.875" style="738" bestFit="1" customWidth="1"/>
    <col min="527" max="527" width="17" style="738" customWidth="1"/>
    <col min="528" max="528" width="27.875" style="738" customWidth="1"/>
    <col min="529" max="537" width="17" style="738" customWidth="1"/>
    <col min="538" max="768" width="9" style="738"/>
    <col min="769" max="769" width="27" style="738" customWidth="1"/>
    <col min="770" max="773" width="17.75" style="738" customWidth="1"/>
    <col min="774" max="774" width="17" style="738" bestFit="1" customWidth="1"/>
    <col min="775" max="776" width="17" style="738" customWidth="1"/>
    <col min="777" max="777" width="22.875" style="738" bestFit="1" customWidth="1"/>
    <col min="778" max="778" width="17" style="738" customWidth="1"/>
    <col min="779" max="779" width="22.875" style="738" bestFit="1" customWidth="1"/>
    <col min="780" max="781" width="17" style="738" customWidth="1"/>
    <col min="782" max="782" width="21.875" style="738" bestFit="1" customWidth="1"/>
    <col min="783" max="783" width="17" style="738" customWidth="1"/>
    <col min="784" max="784" width="27.875" style="738" customWidth="1"/>
    <col min="785" max="793" width="17" style="738" customWidth="1"/>
    <col min="794" max="1024" width="9" style="738"/>
    <col min="1025" max="1025" width="27" style="738" customWidth="1"/>
    <col min="1026" max="1029" width="17.75" style="738" customWidth="1"/>
    <col min="1030" max="1030" width="17" style="738" bestFit="1" customWidth="1"/>
    <col min="1031" max="1032" width="17" style="738" customWidth="1"/>
    <col min="1033" max="1033" width="22.875" style="738" bestFit="1" customWidth="1"/>
    <col min="1034" max="1034" width="17" style="738" customWidth="1"/>
    <col min="1035" max="1035" width="22.875" style="738" bestFit="1" customWidth="1"/>
    <col min="1036" max="1037" width="17" style="738" customWidth="1"/>
    <col min="1038" max="1038" width="21.875" style="738" bestFit="1" customWidth="1"/>
    <col min="1039" max="1039" width="17" style="738" customWidth="1"/>
    <col min="1040" max="1040" width="27.875" style="738" customWidth="1"/>
    <col min="1041" max="1049" width="17" style="738" customWidth="1"/>
    <col min="1050" max="1280" width="9" style="738"/>
    <col min="1281" max="1281" width="27" style="738" customWidth="1"/>
    <col min="1282" max="1285" width="17.75" style="738" customWidth="1"/>
    <col min="1286" max="1286" width="17" style="738" bestFit="1" customWidth="1"/>
    <col min="1287" max="1288" width="17" style="738" customWidth="1"/>
    <col min="1289" max="1289" width="22.875" style="738" bestFit="1" customWidth="1"/>
    <col min="1290" max="1290" width="17" style="738" customWidth="1"/>
    <col min="1291" max="1291" width="22.875" style="738" bestFit="1" customWidth="1"/>
    <col min="1292" max="1293" width="17" style="738" customWidth="1"/>
    <col min="1294" max="1294" width="21.875" style="738" bestFit="1" customWidth="1"/>
    <col min="1295" max="1295" width="17" style="738" customWidth="1"/>
    <col min="1296" max="1296" width="27.875" style="738" customWidth="1"/>
    <col min="1297" max="1305" width="17" style="738" customWidth="1"/>
    <col min="1306" max="1536" width="9" style="738"/>
    <col min="1537" max="1537" width="27" style="738" customWidth="1"/>
    <col min="1538" max="1541" width="17.75" style="738" customWidth="1"/>
    <col min="1542" max="1542" width="17" style="738" bestFit="1" customWidth="1"/>
    <col min="1543" max="1544" width="17" style="738" customWidth="1"/>
    <col min="1545" max="1545" width="22.875" style="738" bestFit="1" customWidth="1"/>
    <col min="1546" max="1546" width="17" style="738" customWidth="1"/>
    <col min="1547" max="1547" width="22.875" style="738" bestFit="1" customWidth="1"/>
    <col min="1548" max="1549" width="17" style="738" customWidth="1"/>
    <col min="1550" max="1550" width="21.875" style="738" bestFit="1" customWidth="1"/>
    <col min="1551" max="1551" width="17" style="738" customWidth="1"/>
    <col min="1552" max="1552" width="27.875" style="738" customWidth="1"/>
    <col min="1553" max="1561" width="17" style="738" customWidth="1"/>
    <col min="1562" max="1792" width="9" style="738"/>
    <col min="1793" max="1793" width="27" style="738" customWidth="1"/>
    <col min="1794" max="1797" width="17.75" style="738" customWidth="1"/>
    <col min="1798" max="1798" width="17" style="738" bestFit="1" customWidth="1"/>
    <col min="1799" max="1800" width="17" style="738" customWidth="1"/>
    <col min="1801" max="1801" width="22.875" style="738" bestFit="1" customWidth="1"/>
    <col min="1802" max="1802" width="17" style="738" customWidth="1"/>
    <col min="1803" max="1803" width="22.875" style="738" bestFit="1" customWidth="1"/>
    <col min="1804" max="1805" width="17" style="738" customWidth="1"/>
    <col min="1806" max="1806" width="21.875" style="738" bestFit="1" customWidth="1"/>
    <col min="1807" max="1807" width="17" style="738" customWidth="1"/>
    <col min="1808" max="1808" width="27.875" style="738" customWidth="1"/>
    <col min="1809" max="1817" width="17" style="738" customWidth="1"/>
    <col min="1818" max="2048" width="9" style="738"/>
    <col min="2049" max="2049" width="27" style="738" customWidth="1"/>
    <col min="2050" max="2053" width="17.75" style="738" customWidth="1"/>
    <col min="2054" max="2054" width="17" style="738" bestFit="1" customWidth="1"/>
    <col min="2055" max="2056" width="17" style="738" customWidth="1"/>
    <col min="2057" max="2057" width="22.875" style="738" bestFit="1" customWidth="1"/>
    <col min="2058" max="2058" width="17" style="738" customWidth="1"/>
    <col min="2059" max="2059" width="22.875" style="738" bestFit="1" customWidth="1"/>
    <col min="2060" max="2061" width="17" style="738" customWidth="1"/>
    <col min="2062" max="2062" width="21.875" style="738" bestFit="1" customWidth="1"/>
    <col min="2063" max="2063" width="17" style="738" customWidth="1"/>
    <col min="2064" max="2064" width="27.875" style="738" customWidth="1"/>
    <col min="2065" max="2073" width="17" style="738" customWidth="1"/>
    <col min="2074" max="2304" width="9" style="738"/>
    <col min="2305" max="2305" width="27" style="738" customWidth="1"/>
    <col min="2306" max="2309" width="17.75" style="738" customWidth="1"/>
    <col min="2310" max="2310" width="17" style="738" bestFit="1" customWidth="1"/>
    <col min="2311" max="2312" width="17" style="738" customWidth="1"/>
    <col min="2313" max="2313" width="22.875" style="738" bestFit="1" customWidth="1"/>
    <col min="2314" max="2314" width="17" style="738" customWidth="1"/>
    <col min="2315" max="2315" width="22.875" style="738" bestFit="1" customWidth="1"/>
    <col min="2316" max="2317" width="17" style="738" customWidth="1"/>
    <col min="2318" max="2318" width="21.875" style="738" bestFit="1" customWidth="1"/>
    <col min="2319" max="2319" width="17" style="738" customWidth="1"/>
    <col min="2320" max="2320" width="27.875" style="738" customWidth="1"/>
    <col min="2321" max="2329" width="17" style="738" customWidth="1"/>
    <col min="2330" max="2560" width="9" style="738"/>
    <col min="2561" max="2561" width="27" style="738" customWidth="1"/>
    <col min="2562" max="2565" width="17.75" style="738" customWidth="1"/>
    <col min="2566" max="2566" width="17" style="738" bestFit="1" customWidth="1"/>
    <col min="2567" max="2568" width="17" style="738" customWidth="1"/>
    <col min="2569" max="2569" width="22.875" style="738" bestFit="1" customWidth="1"/>
    <col min="2570" max="2570" width="17" style="738" customWidth="1"/>
    <col min="2571" max="2571" width="22.875" style="738" bestFit="1" customWidth="1"/>
    <col min="2572" max="2573" width="17" style="738" customWidth="1"/>
    <col min="2574" max="2574" width="21.875" style="738" bestFit="1" customWidth="1"/>
    <col min="2575" max="2575" width="17" style="738" customWidth="1"/>
    <col min="2576" max="2576" width="27.875" style="738" customWidth="1"/>
    <col min="2577" max="2585" width="17" style="738" customWidth="1"/>
    <col min="2586" max="2816" width="9" style="738"/>
    <col min="2817" max="2817" width="27" style="738" customWidth="1"/>
    <col min="2818" max="2821" width="17.75" style="738" customWidth="1"/>
    <col min="2822" max="2822" width="17" style="738" bestFit="1" customWidth="1"/>
    <col min="2823" max="2824" width="17" style="738" customWidth="1"/>
    <col min="2825" max="2825" width="22.875" style="738" bestFit="1" customWidth="1"/>
    <col min="2826" max="2826" width="17" style="738" customWidth="1"/>
    <col min="2827" max="2827" width="22.875" style="738" bestFit="1" customWidth="1"/>
    <col min="2828" max="2829" width="17" style="738" customWidth="1"/>
    <col min="2830" max="2830" width="21.875" style="738" bestFit="1" customWidth="1"/>
    <col min="2831" max="2831" width="17" style="738" customWidth="1"/>
    <col min="2832" max="2832" width="27.875" style="738" customWidth="1"/>
    <col min="2833" max="2841" width="17" style="738" customWidth="1"/>
    <col min="2842" max="3072" width="9" style="738"/>
    <col min="3073" max="3073" width="27" style="738" customWidth="1"/>
    <col min="3074" max="3077" width="17.75" style="738" customWidth="1"/>
    <col min="3078" max="3078" width="17" style="738" bestFit="1" customWidth="1"/>
    <col min="3079" max="3080" width="17" style="738" customWidth="1"/>
    <col min="3081" max="3081" width="22.875" style="738" bestFit="1" customWidth="1"/>
    <col min="3082" max="3082" width="17" style="738" customWidth="1"/>
    <col min="3083" max="3083" width="22.875" style="738" bestFit="1" customWidth="1"/>
    <col min="3084" max="3085" width="17" style="738" customWidth="1"/>
    <col min="3086" max="3086" width="21.875" style="738" bestFit="1" customWidth="1"/>
    <col min="3087" max="3087" width="17" style="738" customWidth="1"/>
    <col min="3088" max="3088" width="27.875" style="738" customWidth="1"/>
    <col min="3089" max="3097" width="17" style="738" customWidth="1"/>
    <col min="3098" max="3328" width="9" style="738"/>
    <col min="3329" max="3329" width="27" style="738" customWidth="1"/>
    <col min="3330" max="3333" width="17.75" style="738" customWidth="1"/>
    <col min="3334" max="3334" width="17" style="738" bestFit="1" customWidth="1"/>
    <col min="3335" max="3336" width="17" style="738" customWidth="1"/>
    <col min="3337" max="3337" width="22.875" style="738" bestFit="1" customWidth="1"/>
    <col min="3338" max="3338" width="17" style="738" customWidth="1"/>
    <col min="3339" max="3339" width="22.875" style="738" bestFit="1" customWidth="1"/>
    <col min="3340" max="3341" width="17" style="738" customWidth="1"/>
    <col min="3342" max="3342" width="21.875" style="738" bestFit="1" customWidth="1"/>
    <col min="3343" max="3343" width="17" style="738" customWidth="1"/>
    <col min="3344" max="3344" width="27.875" style="738" customWidth="1"/>
    <col min="3345" max="3353" width="17" style="738" customWidth="1"/>
    <col min="3354" max="3584" width="9" style="738"/>
    <col min="3585" max="3585" width="27" style="738" customWidth="1"/>
    <col min="3586" max="3589" width="17.75" style="738" customWidth="1"/>
    <col min="3590" max="3590" width="17" style="738" bestFit="1" customWidth="1"/>
    <col min="3591" max="3592" width="17" style="738" customWidth="1"/>
    <col min="3593" max="3593" width="22.875" style="738" bestFit="1" customWidth="1"/>
    <col min="3594" max="3594" width="17" style="738" customWidth="1"/>
    <col min="3595" max="3595" width="22.875" style="738" bestFit="1" customWidth="1"/>
    <col min="3596" max="3597" width="17" style="738" customWidth="1"/>
    <col min="3598" max="3598" width="21.875" style="738" bestFit="1" customWidth="1"/>
    <col min="3599" max="3599" width="17" style="738" customWidth="1"/>
    <col min="3600" max="3600" width="27.875" style="738" customWidth="1"/>
    <col min="3601" max="3609" width="17" style="738" customWidth="1"/>
    <col min="3610" max="3840" width="9" style="738"/>
    <col min="3841" max="3841" width="27" style="738" customWidth="1"/>
    <col min="3842" max="3845" width="17.75" style="738" customWidth="1"/>
    <col min="3846" max="3846" width="17" style="738" bestFit="1" customWidth="1"/>
    <col min="3847" max="3848" width="17" style="738" customWidth="1"/>
    <col min="3849" max="3849" width="22.875" style="738" bestFit="1" customWidth="1"/>
    <col min="3850" max="3850" width="17" style="738" customWidth="1"/>
    <col min="3851" max="3851" width="22.875" style="738" bestFit="1" customWidth="1"/>
    <col min="3852" max="3853" width="17" style="738" customWidth="1"/>
    <col min="3854" max="3854" width="21.875" style="738" bestFit="1" customWidth="1"/>
    <col min="3855" max="3855" width="17" style="738" customWidth="1"/>
    <col min="3856" max="3856" width="27.875" style="738" customWidth="1"/>
    <col min="3857" max="3865" width="17" style="738" customWidth="1"/>
    <col min="3866" max="4096" width="9" style="738"/>
    <col min="4097" max="4097" width="27" style="738" customWidth="1"/>
    <col min="4098" max="4101" width="17.75" style="738" customWidth="1"/>
    <col min="4102" max="4102" width="17" style="738" bestFit="1" customWidth="1"/>
    <col min="4103" max="4104" width="17" style="738" customWidth="1"/>
    <col min="4105" max="4105" width="22.875" style="738" bestFit="1" customWidth="1"/>
    <col min="4106" max="4106" width="17" style="738" customWidth="1"/>
    <col min="4107" max="4107" width="22.875" style="738" bestFit="1" customWidth="1"/>
    <col min="4108" max="4109" width="17" style="738" customWidth="1"/>
    <col min="4110" max="4110" width="21.875" style="738" bestFit="1" customWidth="1"/>
    <col min="4111" max="4111" width="17" style="738" customWidth="1"/>
    <col min="4112" max="4112" width="27.875" style="738" customWidth="1"/>
    <col min="4113" max="4121" width="17" style="738" customWidth="1"/>
    <col min="4122" max="4352" width="9" style="738"/>
    <col min="4353" max="4353" width="27" style="738" customWidth="1"/>
    <col min="4354" max="4357" width="17.75" style="738" customWidth="1"/>
    <col min="4358" max="4358" width="17" style="738" bestFit="1" customWidth="1"/>
    <col min="4359" max="4360" width="17" style="738" customWidth="1"/>
    <col min="4361" max="4361" width="22.875" style="738" bestFit="1" customWidth="1"/>
    <col min="4362" max="4362" width="17" style="738" customWidth="1"/>
    <col min="4363" max="4363" width="22.875" style="738" bestFit="1" customWidth="1"/>
    <col min="4364" max="4365" width="17" style="738" customWidth="1"/>
    <col min="4366" max="4366" width="21.875" style="738" bestFit="1" customWidth="1"/>
    <col min="4367" max="4367" width="17" style="738" customWidth="1"/>
    <col min="4368" max="4368" width="27.875" style="738" customWidth="1"/>
    <col min="4369" max="4377" width="17" style="738" customWidth="1"/>
    <col min="4378" max="4608" width="9" style="738"/>
    <col min="4609" max="4609" width="27" style="738" customWidth="1"/>
    <col min="4610" max="4613" width="17.75" style="738" customWidth="1"/>
    <col min="4614" max="4614" width="17" style="738" bestFit="1" customWidth="1"/>
    <col min="4615" max="4616" width="17" style="738" customWidth="1"/>
    <col min="4617" max="4617" width="22.875" style="738" bestFit="1" customWidth="1"/>
    <col min="4618" max="4618" width="17" style="738" customWidth="1"/>
    <col min="4619" max="4619" width="22.875" style="738" bestFit="1" customWidth="1"/>
    <col min="4620" max="4621" width="17" style="738" customWidth="1"/>
    <col min="4622" max="4622" width="21.875" style="738" bestFit="1" customWidth="1"/>
    <col min="4623" max="4623" width="17" style="738" customWidth="1"/>
    <col min="4624" max="4624" width="27.875" style="738" customWidth="1"/>
    <col min="4625" max="4633" width="17" style="738" customWidth="1"/>
    <col min="4634" max="4864" width="9" style="738"/>
    <col min="4865" max="4865" width="27" style="738" customWidth="1"/>
    <col min="4866" max="4869" width="17.75" style="738" customWidth="1"/>
    <col min="4870" max="4870" width="17" style="738" bestFit="1" customWidth="1"/>
    <col min="4871" max="4872" width="17" style="738" customWidth="1"/>
    <col min="4873" max="4873" width="22.875" style="738" bestFit="1" customWidth="1"/>
    <col min="4874" max="4874" width="17" style="738" customWidth="1"/>
    <col min="4875" max="4875" width="22.875" style="738" bestFit="1" customWidth="1"/>
    <col min="4876" max="4877" width="17" style="738" customWidth="1"/>
    <col min="4878" max="4878" width="21.875" style="738" bestFit="1" customWidth="1"/>
    <col min="4879" max="4879" width="17" style="738" customWidth="1"/>
    <col min="4880" max="4880" width="27.875" style="738" customWidth="1"/>
    <col min="4881" max="4889" width="17" style="738" customWidth="1"/>
    <col min="4890" max="5120" width="9" style="738"/>
    <col min="5121" max="5121" width="27" style="738" customWidth="1"/>
    <col min="5122" max="5125" width="17.75" style="738" customWidth="1"/>
    <col min="5126" max="5126" width="17" style="738" bestFit="1" customWidth="1"/>
    <col min="5127" max="5128" width="17" style="738" customWidth="1"/>
    <col min="5129" max="5129" width="22.875" style="738" bestFit="1" customWidth="1"/>
    <col min="5130" max="5130" width="17" style="738" customWidth="1"/>
    <col min="5131" max="5131" width="22.875" style="738" bestFit="1" customWidth="1"/>
    <col min="5132" max="5133" width="17" style="738" customWidth="1"/>
    <col min="5134" max="5134" width="21.875" style="738" bestFit="1" customWidth="1"/>
    <col min="5135" max="5135" width="17" style="738" customWidth="1"/>
    <col min="5136" max="5136" width="27.875" style="738" customWidth="1"/>
    <col min="5137" max="5145" width="17" style="738" customWidth="1"/>
    <col min="5146" max="5376" width="9" style="738"/>
    <col min="5377" max="5377" width="27" style="738" customWidth="1"/>
    <col min="5378" max="5381" width="17.75" style="738" customWidth="1"/>
    <col min="5382" max="5382" width="17" style="738" bestFit="1" customWidth="1"/>
    <col min="5383" max="5384" width="17" style="738" customWidth="1"/>
    <col min="5385" max="5385" width="22.875" style="738" bestFit="1" customWidth="1"/>
    <col min="5386" max="5386" width="17" style="738" customWidth="1"/>
    <col min="5387" max="5387" width="22.875" style="738" bestFit="1" customWidth="1"/>
    <col min="5388" max="5389" width="17" style="738" customWidth="1"/>
    <col min="5390" max="5390" width="21.875" style="738" bestFit="1" customWidth="1"/>
    <col min="5391" max="5391" width="17" style="738" customWidth="1"/>
    <col min="5392" max="5392" width="27.875" style="738" customWidth="1"/>
    <col min="5393" max="5401" width="17" style="738" customWidth="1"/>
    <col min="5402" max="5632" width="9" style="738"/>
    <col min="5633" max="5633" width="27" style="738" customWidth="1"/>
    <col min="5634" max="5637" width="17.75" style="738" customWidth="1"/>
    <col min="5638" max="5638" width="17" style="738" bestFit="1" customWidth="1"/>
    <col min="5639" max="5640" width="17" style="738" customWidth="1"/>
    <col min="5641" max="5641" width="22.875" style="738" bestFit="1" customWidth="1"/>
    <col min="5642" max="5642" width="17" style="738" customWidth="1"/>
    <col min="5643" max="5643" width="22.875" style="738" bestFit="1" customWidth="1"/>
    <col min="5644" max="5645" width="17" style="738" customWidth="1"/>
    <col min="5646" max="5646" width="21.875" style="738" bestFit="1" customWidth="1"/>
    <col min="5647" max="5647" width="17" style="738" customWidth="1"/>
    <col min="5648" max="5648" width="27.875" style="738" customWidth="1"/>
    <col min="5649" max="5657" width="17" style="738" customWidth="1"/>
    <col min="5658" max="5888" width="9" style="738"/>
    <col min="5889" max="5889" width="27" style="738" customWidth="1"/>
    <col min="5890" max="5893" width="17.75" style="738" customWidth="1"/>
    <col min="5894" max="5894" width="17" style="738" bestFit="1" customWidth="1"/>
    <col min="5895" max="5896" width="17" style="738" customWidth="1"/>
    <col min="5897" max="5897" width="22.875" style="738" bestFit="1" customWidth="1"/>
    <col min="5898" max="5898" width="17" style="738" customWidth="1"/>
    <col min="5899" max="5899" width="22.875" style="738" bestFit="1" customWidth="1"/>
    <col min="5900" max="5901" width="17" style="738" customWidth="1"/>
    <col min="5902" max="5902" width="21.875" style="738" bestFit="1" customWidth="1"/>
    <col min="5903" max="5903" width="17" style="738" customWidth="1"/>
    <col min="5904" max="5904" width="27.875" style="738" customWidth="1"/>
    <col min="5905" max="5913" width="17" style="738" customWidth="1"/>
    <col min="5914" max="6144" width="9" style="738"/>
    <col min="6145" max="6145" width="27" style="738" customWidth="1"/>
    <col min="6146" max="6149" width="17.75" style="738" customWidth="1"/>
    <col min="6150" max="6150" width="17" style="738" bestFit="1" customWidth="1"/>
    <col min="6151" max="6152" width="17" style="738" customWidth="1"/>
    <col min="6153" max="6153" width="22.875" style="738" bestFit="1" customWidth="1"/>
    <col min="6154" max="6154" width="17" style="738" customWidth="1"/>
    <col min="6155" max="6155" width="22.875" style="738" bestFit="1" customWidth="1"/>
    <col min="6156" max="6157" width="17" style="738" customWidth="1"/>
    <col min="6158" max="6158" width="21.875" style="738" bestFit="1" customWidth="1"/>
    <col min="6159" max="6159" width="17" style="738" customWidth="1"/>
    <col min="6160" max="6160" width="27.875" style="738" customWidth="1"/>
    <col min="6161" max="6169" width="17" style="738" customWidth="1"/>
    <col min="6170" max="6400" width="9" style="738"/>
    <col min="6401" max="6401" width="27" style="738" customWidth="1"/>
    <col min="6402" max="6405" width="17.75" style="738" customWidth="1"/>
    <col min="6406" max="6406" width="17" style="738" bestFit="1" customWidth="1"/>
    <col min="6407" max="6408" width="17" style="738" customWidth="1"/>
    <col min="6409" max="6409" width="22.875" style="738" bestFit="1" customWidth="1"/>
    <col min="6410" max="6410" width="17" style="738" customWidth="1"/>
    <col min="6411" max="6411" width="22.875" style="738" bestFit="1" customWidth="1"/>
    <col min="6412" max="6413" width="17" style="738" customWidth="1"/>
    <col min="6414" max="6414" width="21.875" style="738" bestFit="1" customWidth="1"/>
    <col min="6415" max="6415" width="17" style="738" customWidth="1"/>
    <col min="6416" max="6416" width="27.875" style="738" customWidth="1"/>
    <col min="6417" max="6425" width="17" style="738" customWidth="1"/>
    <col min="6426" max="6656" width="9" style="738"/>
    <col min="6657" max="6657" width="27" style="738" customWidth="1"/>
    <col min="6658" max="6661" width="17.75" style="738" customWidth="1"/>
    <col min="6662" max="6662" width="17" style="738" bestFit="1" customWidth="1"/>
    <col min="6663" max="6664" width="17" style="738" customWidth="1"/>
    <col min="6665" max="6665" width="22.875" style="738" bestFit="1" customWidth="1"/>
    <col min="6666" max="6666" width="17" style="738" customWidth="1"/>
    <col min="6667" max="6667" width="22.875" style="738" bestFit="1" customWidth="1"/>
    <col min="6668" max="6669" width="17" style="738" customWidth="1"/>
    <col min="6670" max="6670" width="21.875" style="738" bestFit="1" customWidth="1"/>
    <col min="6671" max="6671" width="17" style="738" customWidth="1"/>
    <col min="6672" max="6672" width="27.875" style="738" customWidth="1"/>
    <col min="6673" max="6681" width="17" style="738" customWidth="1"/>
    <col min="6682" max="6912" width="9" style="738"/>
    <col min="6913" max="6913" width="27" style="738" customWidth="1"/>
    <col min="6914" max="6917" width="17.75" style="738" customWidth="1"/>
    <col min="6918" max="6918" width="17" style="738" bestFit="1" customWidth="1"/>
    <col min="6919" max="6920" width="17" style="738" customWidth="1"/>
    <col min="6921" max="6921" width="22.875" style="738" bestFit="1" customWidth="1"/>
    <col min="6922" max="6922" width="17" style="738" customWidth="1"/>
    <col min="6923" max="6923" width="22.875" style="738" bestFit="1" customWidth="1"/>
    <col min="6924" max="6925" width="17" style="738" customWidth="1"/>
    <col min="6926" max="6926" width="21.875" style="738" bestFit="1" customWidth="1"/>
    <col min="6927" max="6927" width="17" style="738" customWidth="1"/>
    <col min="6928" max="6928" width="27.875" style="738" customWidth="1"/>
    <col min="6929" max="6937" width="17" style="738" customWidth="1"/>
    <col min="6938" max="7168" width="9" style="738"/>
    <col min="7169" max="7169" width="27" style="738" customWidth="1"/>
    <col min="7170" max="7173" width="17.75" style="738" customWidth="1"/>
    <col min="7174" max="7174" width="17" style="738" bestFit="1" customWidth="1"/>
    <col min="7175" max="7176" width="17" style="738" customWidth="1"/>
    <col min="7177" max="7177" width="22.875" style="738" bestFit="1" customWidth="1"/>
    <col min="7178" max="7178" width="17" style="738" customWidth="1"/>
    <col min="7179" max="7179" width="22.875" style="738" bestFit="1" customWidth="1"/>
    <col min="7180" max="7181" width="17" style="738" customWidth="1"/>
    <col min="7182" max="7182" width="21.875" style="738" bestFit="1" customWidth="1"/>
    <col min="7183" max="7183" width="17" style="738" customWidth="1"/>
    <col min="7184" max="7184" width="27.875" style="738" customWidth="1"/>
    <col min="7185" max="7193" width="17" style="738" customWidth="1"/>
    <col min="7194" max="7424" width="9" style="738"/>
    <col min="7425" max="7425" width="27" style="738" customWidth="1"/>
    <col min="7426" max="7429" width="17.75" style="738" customWidth="1"/>
    <col min="7430" max="7430" width="17" style="738" bestFit="1" customWidth="1"/>
    <col min="7431" max="7432" width="17" style="738" customWidth="1"/>
    <col min="7433" max="7433" width="22.875" style="738" bestFit="1" customWidth="1"/>
    <col min="7434" max="7434" width="17" style="738" customWidth="1"/>
    <col min="7435" max="7435" width="22.875" style="738" bestFit="1" customWidth="1"/>
    <col min="7436" max="7437" width="17" style="738" customWidth="1"/>
    <col min="7438" max="7438" width="21.875" style="738" bestFit="1" customWidth="1"/>
    <col min="7439" max="7439" width="17" style="738" customWidth="1"/>
    <col min="7440" max="7440" width="27.875" style="738" customWidth="1"/>
    <col min="7441" max="7449" width="17" style="738" customWidth="1"/>
    <col min="7450" max="7680" width="9" style="738"/>
    <col min="7681" max="7681" width="27" style="738" customWidth="1"/>
    <col min="7682" max="7685" width="17.75" style="738" customWidth="1"/>
    <col min="7686" max="7686" width="17" style="738" bestFit="1" customWidth="1"/>
    <col min="7687" max="7688" width="17" style="738" customWidth="1"/>
    <col min="7689" max="7689" width="22.875" style="738" bestFit="1" customWidth="1"/>
    <col min="7690" max="7690" width="17" style="738" customWidth="1"/>
    <col min="7691" max="7691" width="22.875" style="738" bestFit="1" customWidth="1"/>
    <col min="7692" max="7693" width="17" style="738" customWidth="1"/>
    <col min="7694" max="7694" width="21.875" style="738" bestFit="1" customWidth="1"/>
    <col min="7695" max="7695" width="17" style="738" customWidth="1"/>
    <col min="7696" max="7696" width="27.875" style="738" customWidth="1"/>
    <col min="7697" max="7705" width="17" style="738" customWidth="1"/>
    <col min="7706" max="7936" width="9" style="738"/>
    <col min="7937" max="7937" width="27" style="738" customWidth="1"/>
    <col min="7938" max="7941" width="17.75" style="738" customWidth="1"/>
    <col min="7942" max="7942" width="17" style="738" bestFit="1" customWidth="1"/>
    <col min="7943" max="7944" width="17" style="738" customWidth="1"/>
    <col min="7945" max="7945" width="22.875" style="738" bestFit="1" customWidth="1"/>
    <col min="7946" max="7946" width="17" style="738" customWidth="1"/>
    <col min="7947" max="7947" width="22.875" style="738" bestFit="1" customWidth="1"/>
    <col min="7948" max="7949" width="17" style="738" customWidth="1"/>
    <col min="7950" max="7950" width="21.875" style="738" bestFit="1" customWidth="1"/>
    <col min="7951" max="7951" width="17" style="738" customWidth="1"/>
    <col min="7952" max="7952" width="27.875" style="738" customWidth="1"/>
    <col min="7953" max="7961" width="17" style="738" customWidth="1"/>
    <col min="7962" max="8192" width="9" style="738"/>
    <col min="8193" max="8193" width="27" style="738" customWidth="1"/>
    <col min="8194" max="8197" width="17.75" style="738" customWidth="1"/>
    <col min="8198" max="8198" width="17" style="738" bestFit="1" customWidth="1"/>
    <col min="8199" max="8200" width="17" style="738" customWidth="1"/>
    <col min="8201" max="8201" width="22.875" style="738" bestFit="1" customWidth="1"/>
    <col min="8202" max="8202" width="17" style="738" customWidth="1"/>
    <col min="8203" max="8203" width="22.875" style="738" bestFit="1" customWidth="1"/>
    <col min="8204" max="8205" width="17" style="738" customWidth="1"/>
    <col min="8206" max="8206" width="21.875" style="738" bestFit="1" customWidth="1"/>
    <col min="8207" max="8207" width="17" style="738" customWidth="1"/>
    <col min="8208" max="8208" width="27.875" style="738" customWidth="1"/>
    <col min="8209" max="8217" width="17" style="738" customWidth="1"/>
    <col min="8218" max="8448" width="9" style="738"/>
    <col min="8449" max="8449" width="27" style="738" customWidth="1"/>
    <col min="8450" max="8453" width="17.75" style="738" customWidth="1"/>
    <col min="8454" max="8454" width="17" style="738" bestFit="1" customWidth="1"/>
    <col min="8455" max="8456" width="17" style="738" customWidth="1"/>
    <col min="8457" max="8457" width="22.875" style="738" bestFit="1" customWidth="1"/>
    <col min="8458" max="8458" width="17" style="738" customWidth="1"/>
    <col min="8459" max="8459" width="22.875" style="738" bestFit="1" customWidth="1"/>
    <col min="8460" max="8461" width="17" style="738" customWidth="1"/>
    <col min="8462" max="8462" width="21.875" style="738" bestFit="1" customWidth="1"/>
    <col min="8463" max="8463" width="17" style="738" customWidth="1"/>
    <col min="8464" max="8464" width="27.875" style="738" customWidth="1"/>
    <col min="8465" max="8473" width="17" style="738" customWidth="1"/>
    <col min="8474" max="8704" width="9" style="738"/>
    <col min="8705" max="8705" width="27" style="738" customWidth="1"/>
    <col min="8706" max="8709" width="17.75" style="738" customWidth="1"/>
    <col min="8710" max="8710" width="17" style="738" bestFit="1" customWidth="1"/>
    <col min="8711" max="8712" width="17" style="738" customWidth="1"/>
    <col min="8713" max="8713" width="22.875" style="738" bestFit="1" customWidth="1"/>
    <col min="8714" max="8714" width="17" style="738" customWidth="1"/>
    <col min="8715" max="8715" width="22.875" style="738" bestFit="1" customWidth="1"/>
    <col min="8716" max="8717" width="17" style="738" customWidth="1"/>
    <col min="8718" max="8718" width="21.875" style="738" bestFit="1" customWidth="1"/>
    <col min="8719" max="8719" width="17" style="738" customWidth="1"/>
    <col min="8720" max="8720" width="27.875" style="738" customWidth="1"/>
    <col min="8721" max="8729" width="17" style="738" customWidth="1"/>
    <col min="8730" max="8960" width="9" style="738"/>
    <col min="8961" max="8961" width="27" style="738" customWidth="1"/>
    <col min="8962" max="8965" width="17.75" style="738" customWidth="1"/>
    <col min="8966" max="8966" width="17" style="738" bestFit="1" customWidth="1"/>
    <col min="8967" max="8968" width="17" style="738" customWidth="1"/>
    <col min="8969" max="8969" width="22.875" style="738" bestFit="1" customWidth="1"/>
    <col min="8970" max="8970" width="17" style="738" customWidth="1"/>
    <col min="8971" max="8971" width="22.875" style="738" bestFit="1" customWidth="1"/>
    <col min="8972" max="8973" width="17" style="738" customWidth="1"/>
    <col min="8974" max="8974" width="21.875" style="738" bestFit="1" customWidth="1"/>
    <col min="8975" max="8975" width="17" style="738" customWidth="1"/>
    <col min="8976" max="8976" width="27.875" style="738" customWidth="1"/>
    <col min="8977" max="8985" width="17" style="738" customWidth="1"/>
    <col min="8986" max="9216" width="9" style="738"/>
    <col min="9217" max="9217" width="27" style="738" customWidth="1"/>
    <col min="9218" max="9221" width="17.75" style="738" customWidth="1"/>
    <col min="9222" max="9222" width="17" style="738" bestFit="1" customWidth="1"/>
    <col min="9223" max="9224" width="17" style="738" customWidth="1"/>
    <col min="9225" max="9225" width="22.875" style="738" bestFit="1" customWidth="1"/>
    <col min="9226" max="9226" width="17" style="738" customWidth="1"/>
    <col min="9227" max="9227" width="22.875" style="738" bestFit="1" customWidth="1"/>
    <col min="9228" max="9229" width="17" style="738" customWidth="1"/>
    <col min="9230" max="9230" width="21.875" style="738" bestFit="1" customWidth="1"/>
    <col min="9231" max="9231" width="17" style="738" customWidth="1"/>
    <col min="9232" max="9232" width="27.875" style="738" customWidth="1"/>
    <col min="9233" max="9241" width="17" style="738" customWidth="1"/>
    <col min="9242" max="9472" width="9" style="738"/>
    <col min="9473" max="9473" width="27" style="738" customWidth="1"/>
    <col min="9474" max="9477" width="17.75" style="738" customWidth="1"/>
    <col min="9478" max="9478" width="17" style="738" bestFit="1" customWidth="1"/>
    <col min="9479" max="9480" width="17" style="738" customWidth="1"/>
    <col min="9481" max="9481" width="22.875" style="738" bestFit="1" customWidth="1"/>
    <col min="9482" max="9482" width="17" style="738" customWidth="1"/>
    <col min="9483" max="9483" width="22.875" style="738" bestFit="1" customWidth="1"/>
    <col min="9484" max="9485" width="17" style="738" customWidth="1"/>
    <col min="9486" max="9486" width="21.875" style="738" bestFit="1" customWidth="1"/>
    <col min="9487" max="9487" width="17" style="738" customWidth="1"/>
    <col min="9488" max="9488" width="27.875" style="738" customWidth="1"/>
    <col min="9489" max="9497" width="17" style="738" customWidth="1"/>
    <col min="9498" max="9728" width="9" style="738"/>
    <col min="9729" max="9729" width="27" style="738" customWidth="1"/>
    <col min="9730" max="9733" width="17.75" style="738" customWidth="1"/>
    <col min="9734" max="9734" width="17" style="738" bestFit="1" customWidth="1"/>
    <col min="9735" max="9736" width="17" style="738" customWidth="1"/>
    <col min="9737" max="9737" width="22.875" style="738" bestFit="1" customWidth="1"/>
    <col min="9738" max="9738" width="17" style="738" customWidth="1"/>
    <col min="9739" max="9739" width="22.875" style="738" bestFit="1" customWidth="1"/>
    <col min="9740" max="9741" width="17" style="738" customWidth="1"/>
    <col min="9742" max="9742" width="21.875" style="738" bestFit="1" customWidth="1"/>
    <col min="9743" max="9743" width="17" style="738" customWidth="1"/>
    <col min="9744" max="9744" width="27.875" style="738" customWidth="1"/>
    <col min="9745" max="9753" width="17" style="738" customWidth="1"/>
    <col min="9754" max="9984" width="9" style="738"/>
    <col min="9985" max="9985" width="27" style="738" customWidth="1"/>
    <col min="9986" max="9989" width="17.75" style="738" customWidth="1"/>
    <col min="9990" max="9990" width="17" style="738" bestFit="1" customWidth="1"/>
    <col min="9991" max="9992" width="17" style="738" customWidth="1"/>
    <col min="9993" max="9993" width="22.875" style="738" bestFit="1" customWidth="1"/>
    <col min="9994" max="9994" width="17" style="738" customWidth="1"/>
    <col min="9995" max="9995" width="22.875" style="738" bestFit="1" customWidth="1"/>
    <col min="9996" max="9997" width="17" style="738" customWidth="1"/>
    <col min="9998" max="9998" width="21.875" style="738" bestFit="1" customWidth="1"/>
    <col min="9999" max="9999" width="17" style="738" customWidth="1"/>
    <col min="10000" max="10000" width="27.875" style="738" customWidth="1"/>
    <col min="10001" max="10009" width="17" style="738" customWidth="1"/>
    <col min="10010" max="10240" width="9" style="738"/>
    <col min="10241" max="10241" width="27" style="738" customWidth="1"/>
    <col min="10242" max="10245" width="17.75" style="738" customWidth="1"/>
    <col min="10246" max="10246" width="17" style="738" bestFit="1" customWidth="1"/>
    <col min="10247" max="10248" width="17" style="738" customWidth="1"/>
    <col min="10249" max="10249" width="22.875" style="738" bestFit="1" customWidth="1"/>
    <col min="10250" max="10250" width="17" style="738" customWidth="1"/>
    <col min="10251" max="10251" width="22.875" style="738" bestFit="1" customWidth="1"/>
    <col min="10252" max="10253" width="17" style="738" customWidth="1"/>
    <col min="10254" max="10254" width="21.875" style="738" bestFit="1" customWidth="1"/>
    <col min="10255" max="10255" width="17" style="738" customWidth="1"/>
    <col min="10256" max="10256" width="27.875" style="738" customWidth="1"/>
    <col min="10257" max="10265" width="17" style="738" customWidth="1"/>
    <col min="10266" max="10496" width="9" style="738"/>
    <col min="10497" max="10497" width="27" style="738" customWidth="1"/>
    <col min="10498" max="10501" width="17.75" style="738" customWidth="1"/>
    <col min="10502" max="10502" width="17" style="738" bestFit="1" customWidth="1"/>
    <col min="10503" max="10504" width="17" style="738" customWidth="1"/>
    <col min="10505" max="10505" width="22.875" style="738" bestFit="1" customWidth="1"/>
    <col min="10506" max="10506" width="17" style="738" customWidth="1"/>
    <col min="10507" max="10507" width="22.875" style="738" bestFit="1" customWidth="1"/>
    <col min="10508" max="10509" width="17" style="738" customWidth="1"/>
    <col min="10510" max="10510" width="21.875" style="738" bestFit="1" customWidth="1"/>
    <col min="10511" max="10511" width="17" style="738" customWidth="1"/>
    <col min="10512" max="10512" width="27.875" style="738" customWidth="1"/>
    <col min="10513" max="10521" width="17" style="738" customWidth="1"/>
    <col min="10522" max="10752" width="9" style="738"/>
    <col min="10753" max="10753" width="27" style="738" customWidth="1"/>
    <col min="10754" max="10757" width="17.75" style="738" customWidth="1"/>
    <col min="10758" max="10758" width="17" style="738" bestFit="1" customWidth="1"/>
    <col min="10759" max="10760" width="17" style="738" customWidth="1"/>
    <col min="10761" max="10761" width="22.875" style="738" bestFit="1" customWidth="1"/>
    <col min="10762" max="10762" width="17" style="738" customWidth="1"/>
    <col min="10763" max="10763" width="22.875" style="738" bestFit="1" customWidth="1"/>
    <col min="10764" max="10765" width="17" style="738" customWidth="1"/>
    <col min="10766" max="10766" width="21.875" style="738" bestFit="1" customWidth="1"/>
    <col min="10767" max="10767" width="17" style="738" customWidth="1"/>
    <col min="10768" max="10768" width="27.875" style="738" customWidth="1"/>
    <col min="10769" max="10777" width="17" style="738" customWidth="1"/>
    <col min="10778" max="11008" width="9" style="738"/>
    <col min="11009" max="11009" width="27" style="738" customWidth="1"/>
    <col min="11010" max="11013" width="17.75" style="738" customWidth="1"/>
    <col min="11014" max="11014" width="17" style="738" bestFit="1" customWidth="1"/>
    <col min="11015" max="11016" width="17" style="738" customWidth="1"/>
    <col min="11017" max="11017" width="22.875" style="738" bestFit="1" customWidth="1"/>
    <col min="11018" max="11018" width="17" style="738" customWidth="1"/>
    <col min="11019" max="11019" width="22.875" style="738" bestFit="1" customWidth="1"/>
    <col min="11020" max="11021" width="17" style="738" customWidth="1"/>
    <col min="11022" max="11022" width="21.875" style="738" bestFit="1" customWidth="1"/>
    <col min="11023" max="11023" width="17" style="738" customWidth="1"/>
    <col min="11024" max="11024" width="27.875" style="738" customWidth="1"/>
    <col min="11025" max="11033" width="17" style="738" customWidth="1"/>
    <col min="11034" max="11264" width="9" style="738"/>
    <col min="11265" max="11265" width="27" style="738" customWidth="1"/>
    <col min="11266" max="11269" width="17.75" style="738" customWidth="1"/>
    <col min="11270" max="11270" width="17" style="738" bestFit="1" customWidth="1"/>
    <col min="11271" max="11272" width="17" style="738" customWidth="1"/>
    <col min="11273" max="11273" width="22.875" style="738" bestFit="1" customWidth="1"/>
    <col min="11274" max="11274" width="17" style="738" customWidth="1"/>
    <col min="11275" max="11275" width="22.875" style="738" bestFit="1" customWidth="1"/>
    <col min="11276" max="11277" width="17" style="738" customWidth="1"/>
    <col min="11278" max="11278" width="21.875" style="738" bestFit="1" customWidth="1"/>
    <col min="11279" max="11279" width="17" style="738" customWidth="1"/>
    <col min="11280" max="11280" width="27.875" style="738" customWidth="1"/>
    <col min="11281" max="11289" width="17" style="738" customWidth="1"/>
    <col min="11290" max="11520" width="9" style="738"/>
    <col min="11521" max="11521" width="27" style="738" customWidth="1"/>
    <col min="11522" max="11525" width="17.75" style="738" customWidth="1"/>
    <col min="11526" max="11526" width="17" style="738" bestFit="1" customWidth="1"/>
    <col min="11527" max="11528" width="17" style="738" customWidth="1"/>
    <col min="11529" max="11529" width="22.875" style="738" bestFit="1" customWidth="1"/>
    <col min="11530" max="11530" width="17" style="738" customWidth="1"/>
    <col min="11531" max="11531" width="22.875" style="738" bestFit="1" customWidth="1"/>
    <col min="11532" max="11533" width="17" style="738" customWidth="1"/>
    <col min="11534" max="11534" width="21.875" style="738" bestFit="1" customWidth="1"/>
    <col min="11535" max="11535" width="17" style="738" customWidth="1"/>
    <col min="11536" max="11536" width="27.875" style="738" customWidth="1"/>
    <col min="11537" max="11545" width="17" style="738" customWidth="1"/>
    <col min="11546" max="11776" width="9" style="738"/>
    <col min="11777" max="11777" width="27" style="738" customWidth="1"/>
    <col min="11778" max="11781" width="17.75" style="738" customWidth="1"/>
    <col min="11782" max="11782" width="17" style="738" bestFit="1" customWidth="1"/>
    <col min="11783" max="11784" width="17" style="738" customWidth="1"/>
    <col min="11785" max="11785" width="22.875" style="738" bestFit="1" customWidth="1"/>
    <col min="11786" max="11786" width="17" style="738" customWidth="1"/>
    <col min="11787" max="11787" width="22.875" style="738" bestFit="1" customWidth="1"/>
    <col min="11788" max="11789" width="17" style="738" customWidth="1"/>
    <col min="11790" max="11790" width="21.875" style="738" bestFit="1" customWidth="1"/>
    <col min="11791" max="11791" width="17" style="738" customWidth="1"/>
    <col min="11792" max="11792" width="27.875" style="738" customWidth="1"/>
    <col min="11793" max="11801" width="17" style="738" customWidth="1"/>
    <col min="11802" max="12032" width="9" style="738"/>
    <col min="12033" max="12033" width="27" style="738" customWidth="1"/>
    <col min="12034" max="12037" width="17.75" style="738" customWidth="1"/>
    <col min="12038" max="12038" width="17" style="738" bestFit="1" customWidth="1"/>
    <col min="12039" max="12040" width="17" style="738" customWidth="1"/>
    <col min="12041" max="12041" width="22.875" style="738" bestFit="1" customWidth="1"/>
    <col min="12042" max="12042" width="17" style="738" customWidth="1"/>
    <col min="12043" max="12043" width="22.875" style="738" bestFit="1" customWidth="1"/>
    <col min="12044" max="12045" width="17" style="738" customWidth="1"/>
    <col min="12046" max="12046" width="21.875" style="738" bestFit="1" customWidth="1"/>
    <col min="12047" max="12047" width="17" style="738" customWidth="1"/>
    <col min="12048" max="12048" width="27.875" style="738" customWidth="1"/>
    <col min="12049" max="12057" width="17" style="738" customWidth="1"/>
    <col min="12058" max="12288" width="9" style="738"/>
    <col min="12289" max="12289" width="27" style="738" customWidth="1"/>
    <col min="12290" max="12293" width="17.75" style="738" customWidth="1"/>
    <col min="12294" max="12294" width="17" style="738" bestFit="1" customWidth="1"/>
    <col min="12295" max="12296" width="17" style="738" customWidth="1"/>
    <col min="12297" max="12297" width="22.875" style="738" bestFit="1" customWidth="1"/>
    <col min="12298" max="12298" width="17" style="738" customWidth="1"/>
    <col min="12299" max="12299" width="22.875" style="738" bestFit="1" customWidth="1"/>
    <col min="12300" max="12301" width="17" style="738" customWidth="1"/>
    <col min="12302" max="12302" width="21.875" style="738" bestFit="1" customWidth="1"/>
    <col min="12303" max="12303" width="17" style="738" customWidth="1"/>
    <col min="12304" max="12304" width="27.875" style="738" customWidth="1"/>
    <col min="12305" max="12313" width="17" style="738" customWidth="1"/>
    <col min="12314" max="12544" width="9" style="738"/>
    <col min="12545" max="12545" width="27" style="738" customWidth="1"/>
    <col min="12546" max="12549" width="17.75" style="738" customWidth="1"/>
    <col min="12550" max="12550" width="17" style="738" bestFit="1" customWidth="1"/>
    <col min="12551" max="12552" width="17" style="738" customWidth="1"/>
    <col min="12553" max="12553" width="22.875" style="738" bestFit="1" customWidth="1"/>
    <col min="12554" max="12554" width="17" style="738" customWidth="1"/>
    <col min="12555" max="12555" width="22.875" style="738" bestFit="1" customWidth="1"/>
    <col min="12556" max="12557" width="17" style="738" customWidth="1"/>
    <col min="12558" max="12558" width="21.875" style="738" bestFit="1" customWidth="1"/>
    <col min="12559" max="12559" width="17" style="738" customWidth="1"/>
    <col min="12560" max="12560" width="27.875" style="738" customWidth="1"/>
    <col min="12561" max="12569" width="17" style="738" customWidth="1"/>
    <col min="12570" max="12800" width="9" style="738"/>
    <col min="12801" max="12801" width="27" style="738" customWidth="1"/>
    <col min="12802" max="12805" width="17.75" style="738" customWidth="1"/>
    <col min="12806" max="12806" width="17" style="738" bestFit="1" customWidth="1"/>
    <col min="12807" max="12808" width="17" style="738" customWidth="1"/>
    <col min="12809" max="12809" width="22.875" style="738" bestFit="1" customWidth="1"/>
    <col min="12810" max="12810" width="17" style="738" customWidth="1"/>
    <col min="12811" max="12811" width="22.875" style="738" bestFit="1" customWidth="1"/>
    <col min="12812" max="12813" width="17" style="738" customWidth="1"/>
    <col min="12814" max="12814" width="21.875" style="738" bestFit="1" customWidth="1"/>
    <col min="12815" max="12815" width="17" style="738" customWidth="1"/>
    <col min="12816" max="12816" width="27.875" style="738" customWidth="1"/>
    <col min="12817" max="12825" width="17" style="738" customWidth="1"/>
    <col min="12826" max="13056" width="9" style="738"/>
    <col min="13057" max="13057" width="27" style="738" customWidth="1"/>
    <col min="13058" max="13061" width="17.75" style="738" customWidth="1"/>
    <col min="13062" max="13062" width="17" style="738" bestFit="1" customWidth="1"/>
    <col min="13063" max="13064" width="17" style="738" customWidth="1"/>
    <col min="13065" max="13065" width="22.875" style="738" bestFit="1" customWidth="1"/>
    <col min="13066" max="13066" width="17" style="738" customWidth="1"/>
    <col min="13067" max="13067" width="22.875" style="738" bestFit="1" customWidth="1"/>
    <col min="13068" max="13069" width="17" style="738" customWidth="1"/>
    <col min="13070" max="13070" width="21.875" style="738" bestFit="1" customWidth="1"/>
    <col min="13071" max="13071" width="17" style="738" customWidth="1"/>
    <col min="13072" max="13072" width="27.875" style="738" customWidth="1"/>
    <col min="13073" max="13081" width="17" style="738" customWidth="1"/>
    <col min="13082" max="13312" width="9" style="738"/>
    <col min="13313" max="13313" width="27" style="738" customWidth="1"/>
    <col min="13314" max="13317" width="17.75" style="738" customWidth="1"/>
    <col min="13318" max="13318" width="17" style="738" bestFit="1" customWidth="1"/>
    <col min="13319" max="13320" width="17" style="738" customWidth="1"/>
    <col min="13321" max="13321" width="22.875" style="738" bestFit="1" customWidth="1"/>
    <col min="13322" max="13322" width="17" style="738" customWidth="1"/>
    <col min="13323" max="13323" width="22.875" style="738" bestFit="1" customWidth="1"/>
    <col min="13324" max="13325" width="17" style="738" customWidth="1"/>
    <col min="13326" max="13326" width="21.875" style="738" bestFit="1" customWidth="1"/>
    <col min="13327" max="13327" width="17" style="738" customWidth="1"/>
    <col min="13328" max="13328" width="27.875" style="738" customWidth="1"/>
    <col min="13329" max="13337" width="17" style="738" customWidth="1"/>
    <col min="13338" max="13568" width="9" style="738"/>
    <col min="13569" max="13569" width="27" style="738" customWidth="1"/>
    <col min="13570" max="13573" width="17.75" style="738" customWidth="1"/>
    <col min="13574" max="13574" width="17" style="738" bestFit="1" customWidth="1"/>
    <col min="13575" max="13576" width="17" style="738" customWidth="1"/>
    <col min="13577" max="13577" width="22.875" style="738" bestFit="1" customWidth="1"/>
    <col min="13578" max="13578" width="17" style="738" customWidth="1"/>
    <col min="13579" max="13579" width="22.875" style="738" bestFit="1" customWidth="1"/>
    <col min="13580" max="13581" width="17" style="738" customWidth="1"/>
    <col min="13582" max="13582" width="21.875" style="738" bestFit="1" customWidth="1"/>
    <col min="13583" max="13583" width="17" style="738" customWidth="1"/>
    <col min="13584" max="13584" width="27.875" style="738" customWidth="1"/>
    <col min="13585" max="13593" width="17" style="738" customWidth="1"/>
    <col min="13594" max="13824" width="9" style="738"/>
    <col min="13825" max="13825" width="27" style="738" customWidth="1"/>
    <col min="13826" max="13829" width="17.75" style="738" customWidth="1"/>
    <col min="13830" max="13830" width="17" style="738" bestFit="1" customWidth="1"/>
    <col min="13831" max="13832" width="17" style="738" customWidth="1"/>
    <col min="13833" max="13833" width="22.875" style="738" bestFit="1" customWidth="1"/>
    <col min="13834" max="13834" width="17" style="738" customWidth="1"/>
    <col min="13835" max="13835" width="22.875" style="738" bestFit="1" customWidth="1"/>
    <col min="13836" max="13837" width="17" style="738" customWidth="1"/>
    <col min="13838" max="13838" width="21.875" style="738" bestFit="1" customWidth="1"/>
    <col min="13839" max="13839" width="17" style="738" customWidth="1"/>
    <col min="13840" max="13840" width="27.875" style="738" customWidth="1"/>
    <col min="13841" max="13849" width="17" style="738" customWidth="1"/>
    <col min="13850" max="14080" width="9" style="738"/>
    <col min="14081" max="14081" width="27" style="738" customWidth="1"/>
    <col min="14082" max="14085" width="17.75" style="738" customWidth="1"/>
    <col min="14086" max="14086" width="17" style="738" bestFit="1" customWidth="1"/>
    <col min="14087" max="14088" width="17" style="738" customWidth="1"/>
    <col min="14089" max="14089" width="22.875" style="738" bestFit="1" customWidth="1"/>
    <col min="14090" max="14090" width="17" style="738" customWidth="1"/>
    <col min="14091" max="14091" width="22.875" style="738" bestFit="1" customWidth="1"/>
    <col min="14092" max="14093" width="17" style="738" customWidth="1"/>
    <col min="14094" max="14094" width="21.875" style="738" bestFit="1" customWidth="1"/>
    <col min="14095" max="14095" width="17" style="738" customWidth="1"/>
    <col min="14096" max="14096" width="27.875" style="738" customWidth="1"/>
    <col min="14097" max="14105" width="17" style="738" customWidth="1"/>
    <col min="14106" max="14336" width="9" style="738"/>
    <col min="14337" max="14337" width="27" style="738" customWidth="1"/>
    <col min="14338" max="14341" width="17.75" style="738" customWidth="1"/>
    <col min="14342" max="14342" width="17" style="738" bestFit="1" customWidth="1"/>
    <col min="14343" max="14344" width="17" style="738" customWidth="1"/>
    <col min="14345" max="14345" width="22.875" style="738" bestFit="1" customWidth="1"/>
    <col min="14346" max="14346" width="17" style="738" customWidth="1"/>
    <col min="14347" max="14347" width="22.875" style="738" bestFit="1" customWidth="1"/>
    <col min="14348" max="14349" width="17" style="738" customWidth="1"/>
    <col min="14350" max="14350" width="21.875" style="738" bestFit="1" customWidth="1"/>
    <col min="14351" max="14351" width="17" style="738" customWidth="1"/>
    <col min="14352" max="14352" width="27.875" style="738" customWidth="1"/>
    <col min="14353" max="14361" width="17" style="738" customWidth="1"/>
    <col min="14362" max="14592" width="9" style="738"/>
    <col min="14593" max="14593" width="27" style="738" customWidth="1"/>
    <col min="14594" max="14597" width="17.75" style="738" customWidth="1"/>
    <col min="14598" max="14598" width="17" style="738" bestFit="1" customWidth="1"/>
    <col min="14599" max="14600" width="17" style="738" customWidth="1"/>
    <col min="14601" max="14601" width="22.875" style="738" bestFit="1" customWidth="1"/>
    <col min="14602" max="14602" width="17" style="738" customWidth="1"/>
    <col min="14603" max="14603" width="22.875" style="738" bestFit="1" customWidth="1"/>
    <col min="14604" max="14605" width="17" style="738" customWidth="1"/>
    <col min="14606" max="14606" width="21.875" style="738" bestFit="1" customWidth="1"/>
    <col min="14607" max="14607" width="17" style="738" customWidth="1"/>
    <col min="14608" max="14608" width="27.875" style="738" customWidth="1"/>
    <col min="14609" max="14617" width="17" style="738" customWidth="1"/>
    <col min="14618" max="14848" width="9" style="738"/>
    <col min="14849" max="14849" width="27" style="738" customWidth="1"/>
    <col min="14850" max="14853" width="17.75" style="738" customWidth="1"/>
    <col min="14854" max="14854" width="17" style="738" bestFit="1" customWidth="1"/>
    <col min="14855" max="14856" width="17" style="738" customWidth="1"/>
    <col min="14857" max="14857" width="22.875" style="738" bestFit="1" customWidth="1"/>
    <col min="14858" max="14858" width="17" style="738" customWidth="1"/>
    <col min="14859" max="14859" width="22.875" style="738" bestFit="1" customWidth="1"/>
    <col min="14860" max="14861" width="17" style="738" customWidth="1"/>
    <col min="14862" max="14862" width="21.875" style="738" bestFit="1" customWidth="1"/>
    <col min="14863" max="14863" width="17" style="738" customWidth="1"/>
    <col min="14864" max="14864" width="27.875" style="738" customWidth="1"/>
    <col min="14865" max="14873" width="17" style="738" customWidth="1"/>
    <col min="14874" max="15104" width="9" style="738"/>
    <col min="15105" max="15105" width="27" style="738" customWidth="1"/>
    <col min="15106" max="15109" width="17.75" style="738" customWidth="1"/>
    <col min="15110" max="15110" width="17" style="738" bestFit="1" customWidth="1"/>
    <col min="15111" max="15112" width="17" style="738" customWidth="1"/>
    <col min="15113" max="15113" width="22.875" style="738" bestFit="1" customWidth="1"/>
    <col min="15114" max="15114" width="17" style="738" customWidth="1"/>
    <col min="15115" max="15115" width="22.875" style="738" bestFit="1" customWidth="1"/>
    <col min="15116" max="15117" width="17" style="738" customWidth="1"/>
    <col min="15118" max="15118" width="21.875" style="738" bestFit="1" customWidth="1"/>
    <col min="15119" max="15119" width="17" style="738" customWidth="1"/>
    <col min="15120" max="15120" width="27.875" style="738" customWidth="1"/>
    <col min="15121" max="15129" width="17" style="738" customWidth="1"/>
    <col min="15130" max="15360" width="9" style="738"/>
    <col min="15361" max="15361" width="27" style="738" customWidth="1"/>
    <col min="15362" max="15365" width="17.75" style="738" customWidth="1"/>
    <col min="15366" max="15366" width="17" style="738" bestFit="1" customWidth="1"/>
    <col min="15367" max="15368" width="17" style="738" customWidth="1"/>
    <col min="15369" max="15369" width="22.875" style="738" bestFit="1" customWidth="1"/>
    <col min="15370" max="15370" width="17" style="738" customWidth="1"/>
    <col min="15371" max="15371" width="22.875" style="738" bestFit="1" customWidth="1"/>
    <col min="15372" max="15373" width="17" style="738" customWidth="1"/>
    <col min="15374" max="15374" width="21.875" style="738" bestFit="1" customWidth="1"/>
    <col min="15375" max="15375" width="17" style="738" customWidth="1"/>
    <col min="15376" max="15376" width="27.875" style="738" customWidth="1"/>
    <col min="15377" max="15385" width="17" style="738" customWidth="1"/>
    <col min="15386" max="15616" width="9" style="738"/>
    <col min="15617" max="15617" width="27" style="738" customWidth="1"/>
    <col min="15618" max="15621" width="17.75" style="738" customWidth="1"/>
    <col min="15622" max="15622" width="17" style="738" bestFit="1" customWidth="1"/>
    <col min="15623" max="15624" width="17" style="738" customWidth="1"/>
    <col min="15625" max="15625" width="22.875" style="738" bestFit="1" customWidth="1"/>
    <col min="15626" max="15626" width="17" style="738" customWidth="1"/>
    <col min="15627" max="15627" width="22.875" style="738" bestFit="1" customWidth="1"/>
    <col min="15628" max="15629" width="17" style="738" customWidth="1"/>
    <col min="15630" max="15630" width="21.875" style="738" bestFit="1" customWidth="1"/>
    <col min="15631" max="15631" width="17" style="738" customWidth="1"/>
    <col min="15632" max="15632" width="27.875" style="738" customWidth="1"/>
    <col min="15633" max="15641" width="17" style="738" customWidth="1"/>
    <col min="15642" max="15872" width="9" style="738"/>
    <col min="15873" max="15873" width="27" style="738" customWidth="1"/>
    <col min="15874" max="15877" width="17.75" style="738" customWidth="1"/>
    <col min="15878" max="15878" width="17" style="738" bestFit="1" customWidth="1"/>
    <col min="15879" max="15880" width="17" style="738" customWidth="1"/>
    <col min="15881" max="15881" width="22.875" style="738" bestFit="1" customWidth="1"/>
    <col min="15882" max="15882" width="17" style="738" customWidth="1"/>
    <col min="15883" max="15883" width="22.875" style="738" bestFit="1" customWidth="1"/>
    <col min="15884" max="15885" width="17" style="738" customWidth="1"/>
    <col min="15886" max="15886" width="21.875" style="738" bestFit="1" customWidth="1"/>
    <col min="15887" max="15887" width="17" style="738" customWidth="1"/>
    <col min="15888" max="15888" width="27.875" style="738" customWidth="1"/>
    <col min="15889" max="15897" width="17" style="738" customWidth="1"/>
    <col min="15898" max="16128" width="9" style="738"/>
    <col min="16129" max="16129" width="27" style="738" customWidth="1"/>
    <col min="16130" max="16133" width="17.75" style="738" customWidth="1"/>
    <col min="16134" max="16134" width="17" style="738" bestFit="1" customWidth="1"/>
    <col min="16135" max="16136" width="17" style="738" customWidth="1"/>
    <col min="16137" max="16137" width="22.875" style="738" bestFit="1" customWidth="1"/>
    <col min="16138" max="16138" width="17" style="738" customWidth="1"/>
    <col min="16139" max="16139" width="22.875" style="738" bestFit="1" customWidth="1"/>
    <col min="16140" max="16141" width="17" style="738" customWidth="1"/>
    <col min="16142" max="16142" width="21.875" style="738" bestFit="1" customWidth="1"/>
    <col min="16143" max="16143" width="17" style="738" customWidth="1"/>
    <col min="16144" max="16144" width="27.875" style="738" customWidth="1"/>
    <col min="16145" max="16153" width="17" style="738" customWidth="1"/>
    <col min="16154" max="16384" width="9" style="738"/>
  </cols>
  <sheetData>
    <row r="1" spans="1:25" ht="31.5">
      <c r="A1" s="1206" t="s">
        <v>2830</v>
      </c>
      <c r="B1" s="1206"/>
      <c r="C1" s="1206"/>
      <c r="D1" s="1206"/>
      <c r="E1" s="1206"/>
      <c r="F1" s="736"/>
    </row>
    <row r="2" spans="1:25" ht="12" customHeight="1"/>
    <row r="3" spans="1:25" s="741" customFormat="1" ht="20.100000000000001" customHeight="1">
      <c r="A3" s="1207" t="str">
        <f>기본사항!C7</f>
        <v>제  13  기  2011년 1월 1일부터  2011년 12월 31일까지</v>
      </c>
      <c r="B3" s="1208"/>
      <c r="C3" s="1208"/>
      <c r="D3" s="1208"/>
      <c r="E3" s="1208"/>
      <c r="F3" s="739"/>
      <c r="G3" s="740"/>
    </row>
    <row r="4" spans="1:25" s="741" customFormat="1" ht="20.100000000000001" customHeight="1">
      <c r="A4" s="1207" t="str">
        <f>기본사항!C8</f>
        <v>제  12  기  2010년 1월 1일부터  2010년 12월 31일까지</v>
      </c>
      <c r="B4" s="1208"/>
      <c r="C4" s="1208"/>
      <c r="D4" s="1208"/>
      <c r="E4" s="1208"/>
      <c r="F4" s="739"/>
      <c r="G4" s="740"/>
    </row>
    <row r="5" spans="1:25" s="741" customFormat="1" ht="20.100000000000001" customHeight="1">
      <c r="A5" s="741" t="s">
        <v>2671</v>
      </c>
      <c r="G5" s="740"/>
    </row>
    <row r="6" spans="1:25" s="741" customFormat="1" ht="14.25" thickBot="1">
      <c r="A6" s="742" t="str">
        <f>기본사항!C2</f>
        <v>(재)한국여성재단</v>
      </c>
      <c r="E6" s="743" t="s">
        <v>2831</v>
      </c>
      <c r="G6" s="740"/>
    </row>
    <row r="7" spans="1:25" s="741" customFormat="1" ht="19.5" customHeight="1">
      <c r="A7" s="1209" t="s">
        <v>2832</v>
      </c>
      <c r="B7" s="1211" t="str">
        <f>기본사항!C3</f>
        <v>제  13  기</v>
      </c>
      <c r="C7" s="1212"/>
      <c r="D7" s="1211" t="str">
        <f>기본사항!C4</f>
        <v>제  12  기</v>
      </c>
      <c r="E7" s="1213"/>
      <c r="F7" s="1204" t="s">
        <v>2672</v>
      </c>
      <c r="G7" s="1205" t="s">
        <v>2673</v>
      </c>
      <c r="H7" s="1203" t="s">
        <v>2674</v>
      </c>
      <c r="I7" s="1203"/>
      <c r="J7" s="1203"/>
      <c r="K7" s="1203"/>
      <c r="L7" s="1203"/>
      <c r="M7" s="1203"/>
      <c r="N7" s="1203" t="s">
        <v>2675</v>
      </c>
      <c r="O7" s="1203"/>
      <c r="P7" s="1203"/>
      <c r="Q7" s="1203"/>
      <c r="R7" s="1203" t="s">
        <v>2676</v>
      </c>
      <c r="S7" s="1203"/>
      <c r="T7" s="1203"/>
      <c r="U7" s="1203"/>
      <c r="V7" s="1203" t="s">
        <v>2677</v>
      </c>
      <c r="W7" s="1203"/>
      <c r="X7" s="1203"/>
      <c r="Y7" s="1203"/>
    </row>
    <row r="8" spans="1:25" s="741" customFormat="1" ht="19.5" customHeight="1" thickBot="1">
      <c r="A8" s="1210"/>
      <c r="B8" s="1214" t="s">
        <v>2833</v>
      </c>
      <c r="C8" s="1215"/>
      <c r="D8" s="1216" t="s">
        <v>2833</v>
      </c>
      <c r="E8" s="1217"/>
      <c r="F8" s="1204"/>
      <c r="G8" s="1205"/>
      <c r="H8" s="744" t="s">
        <v>1152</v>
      </c>
      <c r="I8" s="1203" t="s">
        <v>2678</v>
      </c>
      <c r="J8" s="1203"/>
      <c r="K8" s="1203" t="s">
        <v>2679</v>
      </c>
      <c r="L8" s="1203"/>
      <c r="M8" s="744" t="s">
        <v>2680</v>
      </c>
      <c r="N8" s="1203" t="s">
        <v>2681</v>
      </c>
      <c r="O8" s="1203"/>
      <c r="P8" s="1203" t="s">
        <v>2682</v>
      </c>
      <c r="Q8" s="1203"/>
      <c r="R8" s="1203" t="s">
        <v>2681</v>
      </c>
      <c r="S8" s="1203"/>
      <c r="T8" s="1203" t="s">
        <v>2682</v>
      </c>
      <c r="U8" s="1203"/>
      <c r="V8" s="1203" t="s">
        <v>2683</v>
      </c>
      <c r="W8" s="1203"/>
      <c r="X8" s="1203" t="s">
        <v>2684</v>
      </c>
      <c r="Y8" s="1203"/>
    </row>
    <row r="9" spans="1:25" s="741" customFormat="1" ht="19.5" customHeight="1">
      <c r="A9" s="745" t="s">
        <v>2685</v>
      </c>
      <c r="B9" s="746"/>
      <c r="C9" s="747"/>
      <c r="D9" s="747"/>
      <c r="E9" s="748"/>
      <c r="F9" s="749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</row>
    <row r="10" spans="1:25" s="757" customFormat="1" ht="19.5" customHeight="1">
      <c r="A10" s="751" t="s">
        <v>2834</v>
      </c>
      <c r="B10" s="752"/>
      <c r="C10" s="753"/>
      <c r="D10" s="753"/>
      <c r="E10" s="754"/>
      <c r="F10" s="755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</row>
    <row r="11" spans="1:25" s="757" customFormat="1" ht="19.5" customHeight="1">
      <c r="A11" s="751" t="s">
        <v>2835</v>
      </c>
      <c r="B11" s="753"/>
      <c r="C11" s="753"/>
      <c r="D11" s="753"/>
      <c r="E11" s="754"/>
      <c r="F11" s="755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</row>
    <row r="12" spans="1:25" s="757" customFormat="1" ht="19.5" customHeight="1">
      <c r="A12" s="745" t="s">
        <v>2836</v>
      </c>
      <c r="B12" s="758"/>
      <c r="C12" s="753"/>
      <c r="D12" s="747"/>
      <c r="E12" s="754"/>
      <c r="F12" s="758">
        <f>D12-B12</f>
        <v>0</v>
      </c>
      <c r="G12" s="759">
        <f t="shared" ref="G12:G75" si="0">F12-SUM(H12:Y12)</f>
        <v>0</v>
      </c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</row>
    <row r="13" spans="1:25" s="741" customFormat="1" ht="19.5" customHeight="1">
      <c r="A13" s="745" t="s">
        <v>2837</v>
      </c>
      <c r="B13" s="758"/>
      <c r="C13" s="747"/>
      <c r="D13" s="747"/>
      <c r="E13" s="760"/>
      <c r="F13" s="758">
        <f t="shared" ref="F13:F28" si="1">D13-B13</f>
        <v>0</v>
      </c>
      <c r="G13" s="759">
        <f t="shared" si="0"/>
        <v>0</v>
      </c>
      <c r="H13" s="759"/>
      <c r="I13" s="759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</row>
    <row r="14" spans="1:25" s="741" customFormat="1" ht="19.5" customHeight="1">
      <c r="A14" s="745" t="s">
        <v>2686</v>
      </c>
      <c r="B14" s="758"/>
      <c r="C14" s="747"/>
      <c r="D14" s="747"/>
      <c r="E14" s="760"/>
      <c r="F14" s="758">
        <f t="shared" si="1"/>
        <v>0</v>
      </c>
      <c r="G14" s="759">
        <f t="shared" si="0"/>
        <v>0</v>
      </c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</row>
    <row r="15" spans="1:25" s="741" customFormat="1" ht="19.5" customHeight="1">
      <c r="A15" s="745" t="s">
        <v>2838</v>
      </c>
      <c r="B15" s="758"/>
      <c r="C15" s="747"/>
      <c r="D15" s="747"/>
      <c r="E15" s="760"/>
      <c r="F15" s="758">
        <f t="shared" si="1"/>
        <v>0</v>
      </c>
      <c r="G15" s="759">
        <f t="shared" si="0"/>
        <v>0</v>
      </c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</row>
    <row r="16" spans="1:25" s="741" customFormat="1" ht="19.5" customHeight="1">
      <c r="A16" s="745" t="s">
        <v>2839</v>
      </c>
      <c r="B16" s="758"/>
      <c r="C16" s="747"/>
      <c r="D16" s="747"/>
      <c r="E16" s="760"/>
      <c r="F16" s="758">
        <f t="shared" si="1"/>
        <v>0</v>
      </c>
      <c r="G16" s="759">
        <f t="shared" si="0"/>
        <v>0</v>
      </c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</row>
    <row r="17" spans="1:25" s="741" customFormat="1" ht="19.5" customHeight="1">
      <c r="A17" s="745" t="s">
        <v>2840</v>
      </c>
      <c r="B17" s="758"/>
      <c r="C17" s="747"/>
      <c r="D17" s="747"/>
      <c r="E17" s="760"/>
      <c r="F17" s="758">
        <f t="shared" si="1"/>
        <v>0</v>
      </c>
      <c r="G17" s="759">
        <f t="shared" si="0"/>
        <v>0</v>
      </c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</row>
    <row r="18" spans="1:25" s="741" customFormat="1" ht="19.5" customHeight="1">
      <c r="A18" s="745" t="s">
        <v>2687</v>
      </c>
      <c r="B18" s="758"/>
      <c r="C18" s="747"/>
      <c r="D18" s="747"/>
      <c r="E18" s="760"/>
      <c r="F18" s="758">
        <f t="shared" si="1"/>
        <v>0</v>
      </c>
      <c r="G18" s="759">
        <f t="shared" si="0"/>
        <v>0</v>
      </c>
      <c r="H18" s="759"/>
      <c r="I18" s="759"/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</row>
    <row r="19" spans="1:25" s="741" customFormat="1" ht="19.5" customHeight="1">
      <c r="A19" s="745" t="s">
        <v>2688</v>
      </c>
      <c r="B19" s="747"/>
      <c r="C19" s="747"/>
      <c r="D19" s="747"/>
      <c r="E19" s="760"/>
      <c r="F19" s="758">
        <f t="shared" si="1"/>
        <v>0</v>
      </c>
      <c r="G19" s="759">
        <f t="shared" si="0"/>
        <v>0</v>
      </c>
      <c r="H19" s="759"/>
      <c r="I19" s="759"/>
      <c r="J19" s="759"/>
      <c r="K19" s="759"/>
      <c r="L19" s="759"/>
      <c r="M19" s="759"/>
      <c r="N19" s="759"/>
      <c r="O19" s="759"/>
      <c r="P19" s="759"/>
      <c r="Q19" s="759"/>
      <c r="R19" s="759"/>
      <c r="S19" s="759"/>
      <c r="T19" s="759"/>
      <c r="U19" s="759"/>
      <c r="V19" s="759"/>
      <c r="W19" s="759"/>
      <c r="X19" s="759"/>
      <c r="Y19" s="759"/>
    </row>
    <row r="20" spans="1:25" s="741" customFormat="1" ht="19.5" customHeight="1">
      <c r="A20" s="745" t="s">
        <v>2689</v>
      </c>
      <c r="B20" s="758"/>
      <c r="C20" s="747"/>
      <c r="D20" s="747"/>
      <c r="E20" s="760"/>
      <c r="F20" s="758">
        <f t="shared" si="1"/>
        <v>0</v>
      </c>
      <c r="G20" s="759">
        <f t="shared" si="0"/>
        <v>0</v>
      </c>
      <c r="H20" s="759"/>
      <c r="I20" s="759"/>
      <c r="J20" s="759"/>
      <c r="K20" s="759"/>
      <c r="L20" s="759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</row>
    <row r="21" spans="1:25" s="741" customFormat="1" ht="19.5" customHeight="1">
      <c r="A21" s="745" t="s">
        <v>2688</v>
      </c>
      <c r="B21" s="747"/>
      <c r="C21" s="747"/>
      <c r="D21" s="747"/>
      <c r="E21" s="760"/>
      <c r="F21" s="758">
        <f t="shared" si="1"/>
        <v>0</v>
      </c>
      <c r="G21" s="759">
        <f t="shared" si="0"/>
        <v>0</v>
      </c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</row>
    <row r="22" spans="1:25" s="741" customFormat="1" ht="19.5" customHeight="1">
      <c r="A22" s="745" t="s">
        <v>2690</v>
      </c>
      <c r="B22" s="758"/>
      <c r="C22" s="747"/>
      <c r="D22" s="747"/>
      <c r="E22" s="760"/>
      <c r="F22" s="758">
        <f t="shared" si="1"/>
        <v>0</v>
      </c>
      <c r="G22" s="759">
        <f t="shared" si="0"/>
        <v>0</v>
      </c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</row>
    <row r="23" spans="1:25" s="741" customFormat="1" ht="19.5" customHeight="1">
      <c r="A23" s="745" t="s">
        <v>2688</v>
      </c>
      <c r="B23" s="747"/>
      <c r="C23" s="747"/>
      <c r="D23" s="747"/>
      <c r="E23" s="760"/>
      <c r="F23" s="758">
        <f t="shared" si="1"/>
        <v>0</v>
      </c>
      <c r="G23" s="759">
        <f t="shared" si="0"/>
        <v>0</v>
      </c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</row>
    <row r="24" spans="1:25" s="741" customFormat="1" ht="19.5" customHeight="1">
      <c r="A24" s="745" t="s">
        <v>2691</v>
      </c>
      <c r="B24" s="758"/>
      <c r="C24" s="747"/>
      <c r="D24" s="747"/>
      <c r="E24" s="760"/>
      <c r="F24" s="758">
        <f t="shared" si="1"/>
        <v>0</v>
      </c>
      <c r="G24" s="759">
        <f t="shared" si="0"/>
        <v>0</v>
      </c>
      <c r="H24" s="759"/>
      <c r="I24" s="759"/>
      <c r="J24" s="759"/>
      <c r="K24" s="759"/>
      <c r="L24" s="759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</row>
    <row r="25" spans="1:25" s="741" customFormat="1" ht="19.5" customHeight="1">
      <c r="A25" s="745" t="s">
        <v>2688</v>
      </c>
      <c r="B25" s="747"/>
      <c r="C25" s="747"/>
      <c r="D25" s="747"/>
      <c r="E25" s="760"/>
      <c r="F25" s="758">
        <f t="shared" si="1"/>
        <v>0</v>
      </c>
      <c r="G25" s="759">
        <f t="shared" si="0"/>
        <v>0</v>
      </c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</row>
    <row r="26" spans="1:25" s="741" customFormat="1" ht="19.5" customHeight="1">
      <c r="A26" s="745" t="s">
        <v>2692</v>
      </c>
      <c r="B26" s="758"/>
      <c r="C26" s="747"/>
      <c r="D26" s="747"/>
      <c r="E26" s="760"/>
      <c r="F26" s="758">
        <f t="shared" si="1"/>
        <v>0</v>
      </c>
      <c r="G26" s="759">
        <f t="shared" si="0"/>
        <v>0</v>
      </c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</row>
    <row r="27" spans="1:25" s="741" customFormat="1" ht="19.5" customHeight="1">
      <c r="A27" s="745" t="s">
        <v>2693</v>
      </c>
      <c r="B27" s="761"/>
      <c r="C27" s="747"/>
      <c r="D27" s="747"/>
      <c r="E27" s="760"/>
      <c r="F27" s="758">
        <f t="shared" si="1"/>
        <v>0</v>
      </c>
      <c r="G27" s="759">
        <f t="shared" si="0"/>
        <v>0</v>
      </c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</row>
    <row r="28" spans="1:25" s="741" customFormat="1" ht="19.5" customHeight="1">
      <c r="A28" s="745" t="s">
        <v>2841</v>
      </c>
      <c r="B28" s="761"/>
      <c r="C28" s="747"/>
      <c r="D28" s="747"/>
      <c r="E28" s="760"/>
      <c r="F28" s="758">
        <f t="shared" si="1"/>
        <v>0</v>
      </c>
      <c r="G28" s="759">
        <f t="shared" si="0"/>
        <v>0</v>
      </c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  <c r="Y28" s="759"/>
    </row>
    <row r="29" spans="1:25" s="757" customFormat="1" ht="19.5" customHeight="1">
      <c r="A29" s="751" t="s">
        <v>2842</v>
      </c>
      <c r="B29" s="753"/>
      <c r="C29" s="753"/>
      <c r="D29" s="753"/>
      <c r="E29" s="754"/>
      <c r="F29" s="758">
        <f>E29-C29</f>
        <v>0</v>
      </c>
      <c r="G29" s="759">
        <f t="shared" si="0"/>
        <v>0</v>
      </c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  <c r="X29" s="759"/>
      <c r="Y29" s="759"/>
    </row>
    <row r="30" spans="1:25" s="757" customFormat="1" ht="19.5" customHeight="1">
      <c r="A30" s="745" t="s">
        <v>2843</v>
      </c>
      <c r="B30" s="747"/>
      <c r="C30" s="747"/>
      <c r="D30" s="747"/>
      <c r="E30" s="754"/>
      <c r="F30" s="758"/>
      <c r="G30" s="759">
        <f t="shared" si="0"/>
        <v>0</v>
      </c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  <c r="X30" s="759"/>
      <c r="Y30" s="759"/>
    </row>
    <row r="31" spans="1:25" s="757" customFormat="1" ht="19.5" customHeight="1">
      <c r="A31" s="745" t="s">
        <v>2844</v>
      </c>
      <c r="B31" s="747"/>
      <c r="C31" s="747"/>
      <c r="D31" s="747"/>
      <c r="E31" s="760"/>
      <c r="F31" s="758"/>
      <c r="G31" s="759">
        <f t="shared" si="0"/>
        <v>0</v>
      </c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</row>
    <row r="32" spans="1:25" s="757" customFormat="1" ht="19.5" customHeight="1">
      <c r="A32" s="745" t="s">
        <v>2845</v>
      </c>
      <c r="B32" s="761"/>
      <c r="C32" s="747"/>
      <c r="D32" s="747"/>
      <c r="E32" s="760"/>
      <c r="F32" s="758"/>
      <c r="G32" s="759">
        <f t="shared" si="0"/>
        <v>0</v>
      </c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</row>
    <row r="33" spans="1:25" s="741" customFormat="1" ht="19.5" customHeight="1">
      <c r="A33" s="745" t="s">
        <v>2846</v>
      </c>
      <c r="B33" s="761"/>
      <c r="C33" s="747"/>
      <c r="D33" s="747"/>
      <c r="E33" s="760"/>
      <c r="F33" s="758"/>
      <c r="G33" s="759">
        <f t="shared" si="0"/>
        <v>0</v>
      </c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</row>
    <row r="34" spans="1:25" s="741" customFormat="1" ht="19.5" customHeight="1">
      <c r="A34" s="745" t="s">
        <v>2847</v>
      </c>
      <c r="B34" s="761"/>
      <c r="C34" s="747"/>
      <c r="D34" s="747"/>
      <c r="E34" s="760"/>
      <c r="F34" s="758"/>
      <c r="G34" s="759">
        <f t="shared" si="0"/>
        <v>0</v>
      </c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</row>
    <row r="35" spans="1:25" s="757" customFormat="1" ht="19.5" customHeight="1">
      <c r="A35" s="751" t="s">
        <v>2694</v>
      </c>
      <c r="B35" s="753"/>
      <c r="C35" s="753"/>
      <c r="D35" s="753"/>
      <c r="E35" s="754"/>
      <c r="F35" s="758"/>
      <c r="G35" s="759">
        <f t="shared" si="0"/>
        <v>0</v>
      </c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</row>
    <row r="36" spans="1:25" s="757" customFormat="1" ht="19.5" customHeight="1">
      <c r="A36" s="751" t="s">
        <v>2848</v>
      </c>
      <c r="B36" s="753"/>
      <c r="C36" s="753"/>
      <c r="D36" s="753"/>
      <c r="E36" s="754"/>
      <c r="F36" s="758"/>
      <c r="G36" s="759">
        <f t="shared" si="0"/>
        <v>0</v>
      </c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</row>
    <row r="37" spans="1:25" s="741" customFormat="1" ht="19.5" customHeight="1">
      <c r="A37" s="745" t="s">
        <v>2695</v>
      </c>
      <c r="B37" s="761"/>
      <c r="C37" s="747"/>
      <c r="D37" s="747"/>
      <c r="E37" s="760"/>
      <c r="F37" s="758">
        <f>D37-B37</f>
        <v>0</v>
      </c>
      <c r="G37" s="759">
        <f t="shared" si="0"/>
        <v>0</v>
      </c>
      <c r="H37" s="759"/>
      <c r="I37" s="759"/>
      <c r="J37" s="759"/>
      <c r="K37" s="759"/>
      <c r="L37" s="759"/>
      <c r="M37" s="759"/>
      <c r="N37" s="759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</row>
    <row r="38" spans="1:25" s="741" customFormat="1" ht="19.5" customHeight="1">
      <c r="A38" s="745" t="s">
        <v>2696</v>
      </c>
      <c r="B38" s="761"/>
      <c r="C38" s="747"/>
      <c r="D38" s="747"/>
      <c r="E38" s="760"/>
      <c r="F38" s="758">
        <f>D38-B38</f>
        <v>0</v>
      </c>
      <c r="G38" s="759">
        <f t="shared" si="0"/>
        <v>0</v>
      </c>
      <c r="H38" s="759"/>
      <c r="I38" s="759"/>
      <c r="J38" s="759"/>
      <c r="K38" s="759"/>
      <c r="L38" s="759"/>
      <c r="M38" s="759"/>
      <c r="N38" s="759"/>
      <c r="O38" s="759"/>
      <c r="P38" s="759"/>
      <c r="Q38" s="759"/>
      <c r="R38" s="759"/>
      <c r="S38" s="759"/>
      <c r="T38" s="759"/>
      <c r="U38" s="759"/>
      <c r="V38" s="759"/>
      <c r="W38" s="759"/>
      <c r="X38" s="759"/>
      <c r="Y38" s="759"/>
    </row>
    <row r="39" spans="1:25" s="757" customFormat="1" ht="19.5" customHeight="1">
      <c r="A39" s="751" t="s">
        <v>2849</v>
      </c>
      <c r="B39" s="753"/>
      <c r="C39" s="753"/>
      <c r="D39" s="753"/>
      <c r="E39" s="754"/>
      <c r="F39" s="758"/>
      <c r="G39" s="759">
        <f t="shared" si="0"/>
        <v>0</v>
      </c>
      <c r="H39" s="759"/>
      <c r="I39" s="759"/>
      <c r="J39" s="759"/>
      <c r="K39" s="759"/>
      <c r="L39" s="759"/>
      <c r="M39" s="759"/>
      <c r="N39" s="759"/>
      <c r="O39" s="759"/>
      <c r="P39" s="759"/>
      <c r="Q39" s="759"/>
      <c r="R39" s="759"/>
      <c r="S39" s="759"/>
      <c r="T39" s="759"/>
      <c r="U39" s="759"/>
      <c r="V39" s="759"/>
      <c r="W39" s="759"/>
      <c r="X39" s="759"/>
      <c r="Y39" s="759"/>
    </row>
    <row r="40" spans="1:25" s="741" customFormat="1" ht="19.5" customHeight="1">
      <c r="A40" s="745" t="s">
        <v>2697</v>
      </c>
      <c r="B40" s="762"/>
      <c r="C40" s="747"/>
      <c r="D40" s="747"/>
      <c r="E40" s="760"/>
      <c r="F40" s="758">
        <f t="shared" ref="F40:F50" si="2">D40-B40</f>
        <v>0</v>
      </c>
      <c r="G40" s="759">
        <f t="shared" si="0"/>
        <v>0</v>
      </c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</row>
    <row r="41" spans="1:25" s="741" customFormat="1" ht="19.5" customHeight="1">
      <c r="A41" s="745" t="s">
        <v>2698</v>
      </c>
      <c r="B41" s="762"/>
      <c r="C41" s="747"/>
      <c r="D41" s="747"/>
      <c r="E41" s="760"/>
      <c r="F41" s="758">
        <f t="shared" si="2"/>
        <v>0</v>
      </c>
      <c r="G41" s="759">
        <f t="shared" si="0"/>
        <v>0</v>
      </c>
      <c r="H41" s="759"/>
      <c r="I41" s="759"/>
      <c r="J41" s="759"/>
      <c r="K41" s="759"/>
      <c r="L41" s="759"/>
      <c r="M41" s="759"/>
      <c r="N41" s="759"/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</row>
    <row r="42" spans="1:25" s="741" customFormat="1" ht="19.5" customHeight="1">
      <c r="A42" s="745" t="s">
        <v>2850</v>
      </c>
      <c r="B42" s="763"/>
      <c r="C42" s="747"/>
      <c r="D42" s="747"/>
      <c r="E42" s="748"/>
      <c r="F42" s="758">
        <f t="shared" si="2"/>
        <v>0</v>
      </c>
      <c r="G42" s="759">
        <f t="shared" si="0"/>
        <v>0</v>
      </c>
      <c r="H42" s="759"/>
      <c r="I42" s="759"/>
      <c r="J42" s="759"/>
      <c r="K42" s="759"/>
      <c r="L42" s="759"/>
      <c r="M42" s="759"/>
      <c r="N42" s="759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</row>
    <row r="43" spans="1:25" s="741" customFormat="1" ht="19.5" customHeight="1">
      <c r="A43" s="745" t="s">
        <v>2698</v>
      </c>
      <c r="B43" s="763"/>
      <c r="C43" s="747"/>
      <c r="D43" s="747"/>
      <c r="E43" s="748"/>
      <c r="F43" s="758">
        <f t="shared" si="2"/>
        <v>0</v>
      </c>
      <c r="G43" s="759">
        <f t="shared" si="0"/>
        <v>0</v>
      </c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</row>
    <row r="44" spans="1:25" s="741" customFormat="1" ht="19.5" customHeight="1">
      <c r="A44" s="745" t="s">
        <v>2851</v>
      </c>
      <c r="B44" s="762"/>
      <c r="C44" s="747"/>
      <c r="D44" s="747"/>
      <c r="E44" s="760"/>
      <c r="F44" s="758">
        <f t="shared" si="2"/>
        <v>0</v>
      </c>
      <c r="G44" s="759">
        <f t="shared" si="0"/>
        <v>0</v>
      </c>
      <c r="H44" s="759"/>
      <c r="I44" s="759"/>
      <c r="J44" s="759"/>
      <c r="K44" s="759"/>
      <c r="L44" s="759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</row>
    <row r="45" spans="1:25" s="741" customFormat="1" ht="19.5" customHeight="1">
      <c r="A45" s="745" t="s">
        <v>2698</v>
      </c>
      <c r="B45" s="762"/>
      <c r="C45" s="747"/>
      <c r="D45" s="747"/>
      <c r="E45" s="760"/>
      <c r="F45" s="758">
        <f t="shared" si="2"/>
        <v>0</v>
      </c>
      <c r="G45" s="759">
        <f t="shared" si="0"/>
        <v>0</v>
      </c>
      <c r="H45" s="759"/>
      <c r="I45" s="759"/>
      <c r="J45" s="759"/>
      <c r="K45" s="759"/>
      <c r="L45" s="759"/>
      <c r="M45" s="759"/>
      <c r="N45" s="759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</row>
    <row r="46" spans="1:25" s="741" customFormat="1" ht="19.5" customHeight="1">
      <c r="A46" s="745" t="s">
        <v>2699</v>
      </c>
      <c r="B46" s="762"/>
      <c r="C46" s="747"/>
      <c r="D46" s="747"/>
      <c r="E46" s="760"/>
      <c r="F46" s="758">
        <f t="shared" si="2"/>
        <v>0</v>
      </c>
      <c r="G46" s="759">
        <f t="shared" si="0"/>
        <v>0</v>
      </c>
      <c r="H46" s="759"/>
      <c r="I46" s="759"/>
      <c r="J46" s="759"/>
      <c r="K46" s="759"/>
      <c r="L46" s="759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</row>
    <row r="47" spans="1:25" s="741" customFormat="1" ht="19.5" customHeight="1">
      <c r="A47" s="745" t="s">
        <v>2698</v>
      </c>
      <c r="B47" s="762"/>
      <c r="C47" s="747"/>
      <c r="D47" s="747"/>
      <c r="E47" s="760"/>
      <c r="F47" s="758">
        <f t="shared" si="2"/>
        <v>0</v>
      </c>
      <c r="G47" s="759">
        <f t="shared" si="0"/>
        <v>0</v>
      </c>
      <c r="H47" s="759"/>
      <c r="I47" s="759"/>
      <c r="J47" s="759"/>
      <c r="K47" s="759"/>
      <c r="L47" s="759"/>
      <c r="M47" s="759"/>
      <c r="N47" s="759"/>
      <c r="O47" s="759"/>
      <c r="P47" s="759"/>
      <c r="Q47" s="759"/>
      <c r="R47" s="759"/>
      <c r="S47" s="759"/>
      <c r="T47" s="759"/>
      <c r="U47" s="759"/>
      <c r="V47" s="759"/>
      <c r="W47" s="759"/>
      <c r="X47" s="759"/>
      <c r="Y47" s="759"/>
    </row>
    <row r="48" spans="1:25" s="741" customFormat="1" ht="19.5" customHeight="1">
      <c r="A48" s="745" t="s">
        <v>2700</v>
      </c>
      <c r="B48" s="762"/>
      <c r="C48" s="747"/>
      <c r="D48" s="747"/>
      <c r="E48" s="760"/>
      <c r="F48" s="758">
        <f t="shared" si="2"/>
        <v>0</v>
      </c>
      <c r="G48" s="759">
        <f t="shared" si="0"/>
        <v>0</v>
      </c>
      <c r="H48" s="759"/>
      <c r="I48" s="759"/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</row>
    <row r="49" spans="1:25" s="741" customFormat="1" ht="19.5" customHeight="1">
      <c r="A49" s="745" t="s">
        <v>2698</v>
      </c>
      <c r="B49" s="762"/>
      <c r="C49" s="747"/>
      <c r="D49" s="747"/>
      <c r="E49" s="760"/>
      <c r="F49" s="758">
        <f t="shared" si="2"/>
        <v>0</v>
      </c>
      <c r="G49" s="759">
        <f t="shared" si="0"/>
        <v>0</v>
      </c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  <c r="Y49" s="759"/>
    </row>
    <row r="50" spans="1:25" s="741" customFormat="1" ht="19.5" customHeight="1">
      <c r="A50" s="764" t="s">
        <v>2701</v>
      </c>
      <c r="B50" s="763"/>
      <c r="C50" s="747"/>
      <c r="D50" s="747"/>
      <c r="E50" s="748"/>
      <c r="F50" s="758">
        <f t="shared" si="2"/>
        <v>0</v>
      </c>
      <c r="G50" s="759">
        <f t="shared" si="0"/>
        <v>0</v>
      </c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59"/>
      <c r="S50" s="759"/>
      <c r="T50" s="759"/>
      <c r="U50" s="759"/>
      <c r="V50" s="759"/>
      <c r="W50" s="759"/>
      <c r="X50" s="759"/>
      <c r="Y50" s="759"/>
    </row>
    <row r="51" spans="1:25" s="757" customFormat="1" ht="19.5" customHeight="1">
      <c r="A51" s="751" t="s">
        <v>2852</v>
      </c>
      <c r="B51" s="753"/>
      <c r="C51" s="753"/>
      <c r="D51" s="753"/>
      <c r="E51" s="754"/>
      <c r="F51" s="758"/>
      <c r="G51" s="759">
        <f t="shared" si="0"/>
        <v>0</v>
      </c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</row>
    <row r="52" spans="1:25" s="741" customFormat="1" ht="19.5" customHeight="1">
      <c r="A52" s="745" t="s">
        <v>2702</v>
      </c>
      <c r="B52" s="761"/>
      <c r="C52" s="747"/>
      <c r="D52" s="747"/>
      <c r="E52" s="760"/>
      <c r="F52" s="758">
        <f>D52-B52</f>
        <v>0</v>
      </c>
      <c r="G52" s="759">
        <f t="shared" si="0"/>
        <v>0</v>
      </c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</row>
    <row r="53" spans="1:25" s="757" customFormat="1" ht="19.5" customHeight="1">
      <c r="A53" s="751" t="s">
        <v>2703</v>
      </c>
      <c r="B53" s="753"/>
      <c r="C53" s="753"/>
      <c r="D53" s="753"/>
      <c r="E53" s="754"/>
      <c r="F53" s="758"/>
      <c r="G53" s="759">
        <f t="shared" si="0"/>
        <v>0</v>
      </c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759"/>
      <c r="V53" s="759"/>
      <c r="W53" s="759"/>
      <c r="X53" s="759"/>
      <c r="Y53" s="759"/>
    </row>
    <row r="54" spans="1:25" s="741" customFormat="1" ht="19.5" customHeight="1">
      <c r="A54" s="745" t="s">
        <v>2704</v>
      </c>
      <c r="B54" s="761"/>
      <c r="C54" s="747"/>
      <c r="D54" s="747"/>
      <c r="E54" s="760"/>
      <c r="F54" s="758">
        <f>D54-B54</f>
        <v>0</v>
      </c>
      <c r="G54" s="759">
        <f t="shared" si="0"/>
        <v>0</v>
      </c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</row>
    <row r="55" spans="1:25" s="741" customFormat="1" ht="19.5" customHeight="1">
      <c r="A55" s="745" t="s">
        <v>2688</v>
      </c>
      <c r="B55" s="761"/>
      <c r="C55" s="747"/>
      <c r="D55" s="747"/>
      <c r="E55" s="760"/>
      <c r="F55" s="758">
        <f>D55-B55</f>
        <v>0</v>
      </c>
      <c r="G55" s="759">
        <f t="shared" si="0"/>
        <v>0</v>
      </c>
      <c r="H55" s="759"/>
      <c r="I55" s="759"/>
      <c r="J55" s="759"/>
      <c r="K55" s="759"/>
      <c r="L55" s="759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</row>
    <row r="56" spans="1:25" s="741" customFormat="1" ht="19.5" customHeight="1">
      <c r="A56" s="745" t="s">
        <v>2853</v>
      </c>
      <c r="B56" s="761"/>
      <c r="C56" s="747"/>
      <c r="D56" s="747"/>
      <c r="E56" s="760"/>
      <c r="F56" s="758">
        <f>D56-B56</f>
        <v>0</v>
      </c>
      <c r="G56" s="759">
        <f t="shared" si="0"/>
        <v>0</v>
      </c>
      <c r="H56" s="759"/>
      <c r="I56" s="759"/>
      <c r="J56" s="759"/>
      <c r="K56" s="759"/>
      <c r="L56" s="759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</row>
    <row r="57" spans="1:25" s="757" customFormat="1" ht="19.5" customHeight="1">
      <c r="A57" s="751" t="s">
        <v>2854</v>
      </c>
      <c r="B57" s="753"/>
      <c r="C57" s="753"/>
      <c r="D57" s="753"/>
      <c r="E57" s="754"/>
      <c r="F57" s="758"/>
      <c r="G57" s="759">
        <f t="shared" si="0"/>
        <v>0</v>
      </c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</row>
    <row r="58" spans="1:25" s="741" customFormat="1" ht="19.5" customHeight="1">
      <c r="A58" s="745" t="s">
        <v>2705</v>
      </c>
      <c r="B58" s="747"/>
      <c r="C58" s="747"/>
      <c r="D58" s="747"/>
      <c r="E58" s="748"/>
      <c r="F58" s="758"/>
      <c r="G58" s="759">
        <f t="shared" si="0"/>
        <v>0</v>
      </c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</row>
    <row r="59" spans="1:25" s="757" customFormat="1" ht="19.5" customHeight="1">
      <c r="A59" s="751" t="s">
        <v>2855</v>
      </c>
      <c r="B59" s="753"/>
      <c r="C59" s="753"/>
      <c r="D59" s="753"/>
      <c r="E59" s="754"/>
      <c r="F59" s="758"/>
      <c r="G59" s="759">
        <f t="shared" si="0"/>
        <v>0</v>
      </c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</row>
    <row r="60" spans="1:25" s="741" customFormat="1" ht="19.5" customHeight="1">
      <c r="A60" s="745" t="s">
        <v>2706</v>
      </c>
      <c r="B60" s="761"/>
      <c r="C60" s="747"/>
      <c r="D60" s="747"/>
      <c r="E60" s="760"/>
      <c r="F60" s="758">
        <f>B60-D60</f>
        <v>0</v>
      </c>
      <c r="G60" s="759">
        <f t="shared" si="0"/>
        <v>0</v>
      </c>
      <c r="H60" s="759"/>
      <c r="I60" s="759"/>
      <c r="J60" s="759"/>
      <c r="K60" s="759"/>
      <c r="L60" s="759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</row>
    <row r="61" spans="1:25" s="741" customFormat="1" ht="19.5" customHeight="1">
      <c r="A61" s="745" t="s">
        <v>2707</v>
      </c>
      <c r="B61" s="761"/>
      <c r="C61" s="747"/>
      <c r="D61" s="747"/>
      <c r="E61" s="760"/>
      <c r="F61" s="758">
        <f t="shared" ref="F61:F72" si="3">B61-D61</f>
        <v>0</v>
      </c>
      <c r="G61" s="759">
        <f t="shared" si="0"/>
        <v>0</v>
      </c>
      <c r="H61" s="759"/>
      <c r="I61" s="759"/>
      <c r="J61" s="759"/>
      <c r="K61" s="759"/>
      <c r="L61" s="759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</row>
    <row r="62" spans="1:25" s="741" customFormat="1" ht="19.5" customHeight="1">
      <c r="A62" s="745" t="s">
        <v>2708</v>
      </c>
      <c r="B62" s="761"/>
      <c r="C62" s="747"/>
      <c r="D62" s="747"/>
      <c r="E62" s="760"/>
      <c r="F62" s="758">
        <f t="shared" si="3"/>
        <v>0</v>
      </c>
      <c r="G62" s="759">
        <f t="shared" si="0"/>
        <v>0</v>
      </c>
      <c r="H62" s="759"/>
      <c r="I62" s="759"/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</row>
    <row r="63" spans="1:25" s="741" customFormat="1" ht="19.5" customHeight="1">
      <c r="A63" s="745" t="s">
        <v>2856</v>
      </c>
      <c r="B63" s="761"/>
      <c r="C63" s="747"/>
      <c r="D63" s="747"/>
      <c r="E63" s="760"/>
      <c r="F63" s="758">
        <f t="shared" si="3"/>
        <v>0</v>
      </c>
      <c r="G63" s="759">
        <f t="shared" si="0"/>
        <v>0</v>
      </c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</row>
    <row r="64" spans="1:25" s="741" customFormat="1" ht="19.5" customHeight="1">
      <c r="A64" s="745" t="s">
        <v>2709</v>
      </c>
      <c r="B64" s="761"/>
      <c r="C64" s="747"/>
      <c r="D64" s="747"/>
      <c r="E64" s="760"/>
      <c r="F64" s="758">
        <f t="shared" si="3"/>
        <v>0</v>
      </c>
      <c r="G64" s="759">
        <f t="shared" si="0"/>
        <v>0</v>
      </c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</row>
    <row r="65" spans="1:25" s="741" customFormat="1" ht="19.5" customHeight="1">
      <c r="A65" s="745" t="s">
        <v>2710</v>
      </c>
      <c r="B65" s="761"/>
      <c r="C65" s="747"/>
      <c r="D65" s="747"/>
      <c r="E65" s="760"/>
      <c r="F65" s="758">
        <f t="shared" si="3"/>
        <v>0</v>
      </c>
      <c r="G65" s="759">
        <f t="shared" si="0"/>
        <v>0</v>
      </c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</row>
    <row r="66" spans="1:25" s="741" customFormat="1" ht="19.5" customHeight="1">
      <c r="A66" s="745" t="s">
        <v>2711</v>
      </c>
      <c r="B66" s="761"/>
      <c r="C66" s="747"/>
      <c r="D66" s="747"/>
      <c r="E66" s="760"/>
      <c r="F66" s="758">
        <f t="shared" si="3"/>
        <v>0</v>
      </c>
      <c r="G66" s="759">
        <f t="shared" si="0"/>
        <v>0</v>
      </c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</row>
    <row r="67" spans="1:25" s="741" customFormat="1" ht="19.5" customHeight="1">
      <c r="A67" s="745" t="s">
        <v>2712</v>
      </c>
      <c r="B67" s="761"/>
      <c r="C67" s="747"/>
      <c r="D67" s="747"/>
      <c r="E67" s="760"/>
      <c r="F67" s="758">
        <f t="shared" si="3"/>
        <v>0</v>
      </c>
      <c r="G67" s="759">
        <f t="shared" si="0"/>
        <v>0</v>
      </c>
      <c r="H67" s="759"/>
      <c r="I67" s="759"/>
      <c r="J67" s="759"/>
      <c r="K67" s="759"/>
      <c r="L67" s="759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</row>
    <row r="68" spans="1:25" s="741" customFormat="1" ht="19.5" customHeight="1">
      <c r="A68" s="745" t="s">
        <v>2713</v>
      </c>
      <c r="B68" s="761"/>
      <c r="C68" s="747"/>
      <c r="D68" s="747"/>
      <c r="E68" s="760"/>
      <c r="F68" s="758">
        <f t="shared" si="3"/>
        <v>0</v>
      </c>
      <c r="G68" s="759">
        <f t="shared" si="0"/>
        <v>0</v>
      </c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</row>
    <row r="69" spans="1:25" s="741" customFormat="1" ht="19.5" customHeight="1">
      <c r="A69" s="745" t="s">
        <v>2857</v>
      </c>
      <c r="B69" s="761"/>
      <c r="C69" s="747"/>
      <c r="D69" s="747"/>
      <c r="E69" s="760"/>
      <c r="F69" s="758">
        <f t="shared" si="3"/>
        <v>0</v>
      </c>
      <c r="G69" s="759">
        <f t="shared" si="0"/>
        <v>0</v>
      </c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</row>
    <row r="70" spans="1:25" s="741" customFormat="1" ht="19.5" customHeight="1">
      <c r="A70" s="745" t="s">
        <v>2714</v>
      </c>
      <c r="B70" s="761"/>
      <c r="C70" s="747"/>
      <c r="D70" s="747"/>
      <c r="E70" s="760"/>
      <c r="F70" s="758">
        <f t="shared" si="3"/>
        <v>0</v>
      </c>
      <c r="G70" s="759">
        <f t="shared" si="0"/>
        <v>0</v>
      </c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</row>
    <row r="71" spans="1:25" s="741" customFormat="1" ht="19.5" customHeight="1">
      <c r="A71" s="745" t="s">
        <v>2715</v>
      </c>
      <c r="B71" s="761"/>
      <c r="C71" s="747"/>
      <c r="D71" s="747"/>
      <c r="E71" s="760"/>
      <c r="F71" s="758">
        <f t="shared" si="3"/>
        <v>0</v>
      </c>
      <c r="G71" s="759">
        <f t="shared" si="0"/>
        <v>0</v>
      </c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</row>
    <row r="72" spans="1:25" s="741" customFormat="1" ht="19.5" customHeight="1">
      <c r="A72" s="745" t="s">
        <v>2716</v>
      </c>
      <c r="B72" s="761"/>
      <c r="C72" s="747"/>
      <c r="D72" s="747"/>
      <c r="E72" s="760"/>
      <c r="F72" s="758">
        <f t="shared" si="3"/>
        <v>0</v>
      </c>
      <c r="G72" s="759">
        <f t="shared" si="0"/>
        <v>0</v>
      </c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</row>
    <row r="73" spans="1:25" s="757" customFormat="1" ht="19.5" customHeight="1">
      <c r="A73" s="751" t="s">
        <v>2858</v>
      </c>
      <c r="B73" s="753"/>
      <c r="C73" s="753"/>
      <c r="D73" s="753"/>
      <c r="E73" s="754"/>
      <c r="F73" s="758"/>
      <c r="G73" s="759">
        <f t="shared" si="0"/>
        <v>0</v>
      </c>
      <c r="H73" s="759"/>
      <c r="I73" s="759"/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</row>
    <row r="74" spans="1:25" s="741" customFormat="1" ht="19.5" customHeight="1">
      <c r="A74" s="745" t="s">
        <v>2859</v>
      </c>
      <c r="B74" s="761"/>
      <c r="C74" s="747"/>
      <c r="D74" s="747"/>
      <c r="E74" s="760"/>
      <c r="F74" s="758">
        <f t="shared" ref="F74:F81" si="4">B74-D74</f>
        <v>0</v>
      </c>
      <c r="G74" s="759">
        <f t="shared" si="0"/>
        <v>0</v>
      </c>
      <c r="H74" s="759"/>
      <c r="I74" s="759"/>
      <c r="J74" s="759"/>
      <c r="K74" s="759"/>
      <c r="L74" s="759"/>
      <c r="M74" s="759"/>
      <c r="N74" s="759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</row>
    <row r="75" spans="1:25" s="741" customFormat="1" ht="19.5" customHeight="1">
      <c r="A75" s="745" t="s">
        <v>2860</v>
      </c>
      <c r="B75" s="761"/>
      <c r="C75" s="747"/>
      <c r="D75" s="747"/>
      <c r="E75" s="760"/>
      <c r="F75" s="758">
        <f t="shared" si="4"/>
        <v>0</v>
      </c>
      <c r="G75" s="759">
        <f t="shared" si="0"/>
        <v>0</v>
      </c>
      <c r="H75" s="759"/>
      <c r="I75" s="759"/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</row>
    <row r="76" spans="1:25" s="741" customFormat="1" ht="19.5" customHeight="1">
      <c r="A76" s="745" t="s">
        <v>2861</v>
      </c>
      <c r="B76" s="761"/>
      <c r="C76" s="747"/>
      <c r="D76" s="747"/>
      <c r="E76" s="760"/>
      <c r="F76" s="758">
        <f t="shared" si="4"/>
        <v>0</v>
      </c>
      <c r="G76" s="759">
        <f t="shared" ref="G76:G105" si="5">F76-SUM(H76:Y76)</f>
        <v>0</v>
      </c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</row>
    <row r="77" spans="1:25" s="741" customFormat="1" ht="19.5" customHeight="1">
      <c r="A77" s="745" t="s">
        <v>2712</v>
      </c>
      <c r="B77" s="761"/>
      <c r="C77" s="747"/>
      <c r="D77" s="747"/>
      <c r="E77" s="760"/>
      <c r="F77" s="758">
        <f t="shared" si="4"/>
        <v>0</v>
      </c>
      <c r="G77" s="759">
        <f t="shared" si="5"/>
        <v>0</v>
      </c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</row>
    <row r="78" spans="1:25" s="741" customFormat="1" ht="19.5" customHeight="1">
      <c r="A78" s="745" t="s">
        <v>2713</v>
      </c>
      <c r="B78" s="747"/>
      <c r="C78" s="747"/>
      <c r="D78" s="747"/>
      <c r="E78" s="748"/>
      <c r="F78" s="758">
        <f t="shared" si="4"/>
        <v>0</v>
      </c>
      <c r="G78" s="759">
        <f t="shared" si="5"/>
        <v>0</v>
      </c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</row>
    <row r="79" spans="1:25" s="741" customFormat="1" ht="19.5" customHeight="1">
      <c r="A79" s="745" t="s">
        <v>2714</v>
      </c>
      <c r="B79" s="747"/>
      <c r="C79" s="747"/>
      <c r="D79" s="747"/>
      <c r="E79" s="748"/>
      <c r="F79" s="758">
        <f t="shared" si="4"/>
        <v>0</v>
      </c>
      <c r="G79" s="759">
        <f t="shared" si="5"/>
        <v>0</v>
      </c>
      <c r="H79" s="759"/>
      <c r="I79" s="759"/>
      <c r="J79" s="759"/>
      <c r="K79" s="759"/>
      <c r="L79" s="759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</row>
    <row r="80" spans="1:25" s="741" customFormat="1" ht="19.5" customHeight="1">
      <c r="A80" s="745" t="s">
        <v>2715</v>
      </c>
      <c r="B80" s="747"/>
      <c r="C80" s="747"/>
      <c r="D80" s="747"/>
      <c r="E80" s="748"/>
      <c r="F80" s="758">
        <f t="shared" si="4"/>
        <v>0</v>
      </c>
      <c r="G80" s="759">
        <f t="shared" si="5"/>
        <v>0</v>
      </c>
      <c r="H80" s="759"/>
      <c r="I80" s="759"/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</row>
    <row r="81" spans="1:25" s="741" customFormat="1" ht="19.5" customHeight="1">
      <c r="A81" s="745" t="s">
        <v>2716</v>
      </c>
      <c r="B81" s="747"/>
      <c r="C81" s="747"/>
      <c r="D81" s="747"/>
      <c r="E81" s="748"/>
      <c r="F81" s="758">
        <f t="shared" si="4"/>
        <v>0</v>
      </c>
      <c r="G81" s="759">
        <f t="shared" si="5"/>
        <v>0</v>
      </c>
      <c r="H81" s="759"/>
      <c r="I81" s="759"/>
      <c r="J81" s="759"/>
      <c r="K81" s="759"/>
      <c r="L81" s="759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</row>
    <row r="82" spans="1:25" s="757" customFormat="1" ht="19.5" customHeight="1">
      <c r="A82" s="751" t="s">
        <v>2862</v>
      </c>
      <c r="B82" s="753"/>
      <c r="C82" s="753"/>
      <c r="D82" s="753"/>
      <c r="E82" s="754"/>
      <c r="F82" s="758"/>
      <c r="G82" s="759">
        <f t="shared" si="5"/>
        <v>0</v>
      </c>
      <c r="H82" s="759"/>
      <c r="I82" s="759"/>
      <c r="J82" s="759"/>
      <c r="K82" s="759"/>
      <c r="L82" s="759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</row>
    <row r="83" spans="1:25" s="741" customFormat="1" ht="19.5" customHeight="1">
      <c r="A83" s="745" t="s">
        <v>2717</v>
      </c>
      <c r="B83" s="747"/>
      <c r="C83" s="747"/>
      <c r="D83" s="747"/>
      <c r="E83" s="748"/>
      <c r="F83" s="758"/>
      <c r="G83" s="759">
        <f t="shared" si="5"/>
        <v>0</v>
      </c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</row>
    <row r="84" spans="1:25" s="757" customFormat="1" ht="19.5" customHeight="1">
      <c r="A84" s="751" t="s">
        <v>2863</v>
      </c>
      <c r="B84" s="753"/>
      <c r="C84" s="753"/>
      <c r="D84" s="753"/>
      <c r="E84" s="754"/>
      <c r="F84" s="758"/>
      <c r="G84" s="759">
        <f t="shared" si="5"/>
        <v>0</v>
      </c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</row>
    <row r="85" spans="1:25" s="741" customFormat="1" ht="19.5" customHeight="1">
      <c r="A85" s="745" t="s">
        <v>2718</v>
      </c>
      <c r="B85" s="761"/>
      <c r="C85" s="747"/>
      <c r="D85" s="747"/>
      <c r="E85" s="760"/>
      <c r="F85" s="758">
        <f>B85-D85</f>
        <v>0</v>
      </c>
      <c r="G85" s="759">
        <f t="shared" si="5"/>
        <v>0</v>
      </c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</row>
    <row r="86" spans="1:25" s="741" customFormat="1" ht="19.5" customHeight="1">
      <c r="A86" s="745" t="s">
        <v>2719</v>
      </c>
      <c r="B86" s="761"/>
      <c r="C86" s="747"/>
      <c r="D86" s="747"/>
      <c r="E86" s="760"/>
      <c r="F86" s="758">
        <f>B86-D86</f>
        <v>0</v>
      </c>
      <c r="G86" s="759">
        <f t="shared" si="5"/>
        <v>0</v>
      </c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</row>
    <row r="87" spans="1:25" s="757" customFormat="1" ht="19.5" customHeight="1">
      <c r="A87" s="751" t="s">
        <v>2864</v>
      </c>
      <c r="B87" s="753"/>
      <c r="C87" s="753"/>
      <c r="D87" s="753"/>
      <c r="E87" s="754"/>
      <c r="F87" s="758"/>
      <c r="G87" s="759">
        <f t="shared" si="5"/>
        <v>0</v>
      </c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</row>
    <row r="88" spans="1:25" s="741" customFormat="1" ht="19.5" customHeight="1">
      <c r="A88" s="745" t="s">
        <v>2720</v>
      </c>
      <c r="B88" s="761"/>
      <c r="C88" s="747"/>
      <c r="D88" s="747"/>
      <c r="E88" s="760"/>
      <c r="F88" s="758">
        <f>B88-D88</f>
        <v>0</v>
      </c>
      <c r="G88" s="759">
        <f t="shared" si="5"/>
        <v>0</v>
      </c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</row>
    <row r="89" spans="1:25" s="741" customFormat="1" ht="19.5" customHeight="1">
      <c r="A89" s="745" t="s">
        <v>2721</v>
      </c>
      <c r="B89" s="761"/>
      <c r="C89" s="747"/>
      <c r="D89" s="747"/>
      <c r="E89" s="760"/>
      <c r="F89" s="758">
        <f>B89-D89</f>
        <v>0</v>
      </c>
      <c r="G89" s="759">
        <f t="shared" si="5"/>
        <v>0</v>
      </c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</row>
    <row r="90" spans="1:25" s="741" customFormat="1" ht="19.5" customHeight="1">
      <c r="A90" s="745" t="s">
        <v>2722</v>
      </c>
      <c r="B90" s="761"/>
      <c r="C90" s="747"/>
      <c r="D90" s="747"/>
      <c r="E90" s="760"/>
      <c r="F90" s="758">
        <f>B90-D90</f>
        <v>0</v>
      </c>
      <c r="G90" s="759">
        <f t="shared" si="5"/>
        <v>0</v>
      </c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</row>
    <row r="91" spans="1:25" s="741" customFormat="1" ht="19.5" customHeight="1">
      <c r="A91" s="745" t="s">
        <v>2723</v>
      </c>
      <c r="B91" s="761"/>
      <c r="C91" s="747"/>
      <c r="D91" s="747"/>
      <c r="E91" s="760"/>
      <c r="F91" s="758">
        <f>B91-D91</f>
        <v>0</v>
      </c>
      <c r="G91" s="759">
        <f t="shared" si="5"/>
        <v>0</v>
      </c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</row>
    <row r="92" spans="1:25" s="741" customFormat="1" ht="19.5" customHeight="1">
      <c r="A92" s="745" t="s">
        <v>2865</v>
      </c>
      <c r="B92" s="747"/>
      <c r="C92" s="747"/>
      <c r="D92" s="747"/>
      <c r="E92" s="748"/>
      <c r="F92" s="758">
        <f>B92-D92</f>
        <v>0</v>
      </c>
      <c r="G92" s="759">
        <f t="shared" si="5"/>
        <v>0</v>
      </c>
      <c r="H92" s="759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</row>
    <row r="93" spans="1:25" s="741" customFormat="1" ht="19.5" customHeight="1">
      <c r="A93" s="751" t="s">
        <v>2866</v>
      </c>
      <c r="B93" s="747"/>
      <c r="C93" s="753"/>
      <c r="D93" s="747"/>
      <c r="E93" s="754"/>
      <c r="F93" s="758"/>
      <c r="G93" s="759">
        <f t="shared" si="5"/>
        <v>0</v>
      </c>
      <c r="H93" s="759"/>
      <c r="I93" s="759"/>
      <c r="J93" s="759"/>
      <c r="K93" s="759"/>
      <c r="L93" s="759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</row>
    <row r="94" spans="1:25" s="741" customFormat="1" ht="19.5" customHeight="1">
      <c r="A94" s="745" t="s">
        <v>2867</v>
      </c>
      <c r="B94" s="747"/>
      <c r="C94" s="747"/>
      <c r="D94" s="747"/>
      <c r="E94" s="748"/>
      <c r="F94" s="758">
        <f>B94-D94</f>
        <v>0</v>
      </c>
      <c r="G94" s="759">
        <f t="shared" si="5"/>
        <v>0</v>
      </c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</row>
    <row r="95" spans="1:25" s="741" customFormat="1" ht="19.5" customHeight="1">
      <c r="A95" s="745" t="s">
        <v>2724</v>
      </c>
      <c r="B95" s="747"/>
      <c r="C95" s="747"/>
      <c r="D95" s="747"/>
      <c r="E95" s="748"/>
      <c r="F95" s="758">
        <f>B95-D95</f>
        <v>0</v>
      </c>
      <c r="G95" s="759">
        <f t="shared" si="5"/>
        <v>0</v>
      </c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</row>
    <row r="96" spans="1:25" s="741" customFormat="1" ht="19.5" customHeight="1">
      <c r="A96" s="745" t="s">
        <v>2868</v>
      </c>
      <c r="B96" s="747"/>
      <c r="C96" s="747"/>
      <c r="D96" s="747"/>
      <c r="E96" s="748"/>
      <c r="F96" s="758"/>
      <c r="G96" s="759">
        <f t="shared" si="5"/>
        <v>0</v>
      </c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</row>
    <row r="97" spans="1:25" s="741" customFormat="1" ht="19.5" customHeight="1">
      <c r="A97" s="751" t="s">
        <v>2869</v>
      </c>
      <c r="B97" s="747"/>
      <c r="C97" s="753"/>
      <c r="D97" s="747"/>
      <c r="E97" s="754"/>
      <c r="F97" s="758"/>
      <c r="G97" s="759">
        <f t="shared" si="5"/>
        <v>0</v>
      </c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</row>
    <row r="98" spans="1:25" s="741" customFormat="1" ht="19.5" customHeight="1">
      <c r="A98" s="745" t="s">
        <v>2870</v>
      </c>
      <c r="B98" s="747"/>
      <c r="C98" s="747"/>
      <c r="D98" s="747"/>
      <c r="E98" s="748"/>
      <c r="F98" s="758">
        <f>B98-D98</f>
        <v>0</v>
      </c>
      <c r="G98" s="759">
        <f t="shared" si="5"/>
        <v>0</v>
      </c>
      <c r="H98" s="759"/>
      <c r="I98" s="759"/>
      <c r="J98" s="759"/>
      <c r="K98" s="759"/>
      <c r="L98" s="759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</row>
    <row r="99" spans="1:25" s="741" customFormat="1" ht="19.5" customHeight="1">
      <c r="A99" s="745" t="s">
        <v>2871</v>
      </c>
      <c r="B99" s="747"/>
      <c r="C99" s="747"/>
      <c r="D99" s="747"/>
      <c r="E99" s="748"/>
      <c r="F99" s="758">
        <f>B99-D99</f>
        <v>0</v>
      </c>
      <c r="G99" s="759">
        <f t="shared" si="5"/>
        <v>0</v>
      </c>
      <c r="H99" s="759"/>
      <c r="I99" s="759"/>
      <c r="J99" s="759"/>
      <c r="K99" s="759"/>
      <c r="L99" s="759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</row>
    <row r="100" spans="1:25" s="741" customFormat="1" ht="19.5" customHeight="1">
      <c r="A100" s="745" t="s">
        <v>2872</v>
      </c>
      <c r="B100" s="747"/>
      <c r="C100" s="747"/>
      <c r="D100" s="747"/>
      <c r="E100" s="748"/>
      <c r="F100" s="758">
        <f>B100-D100</f>
        <v>0</v>
      </c>
      <c r="G100" s="759">
        <f t="shared" si="5"/>
        <v>0</v>
      </c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</row>
    <row r="101" spans="1:25" s="757" customFormat="1" ht="19.5" customHeight="1">
      <c r="A101" s="751" t="s">
        <v>2873</v>
      </c>
      <c r="B101" s="753"/>
      <c r="C101" s="753"/>
      <c r="D101" s="753"/>
      <c r="E101" s="754"/>
      <c r="F101" s="758"/>
      <c r="G101" s="759">
        <f t="shared" si="5"/>
        <v>0</v>
      </c>
      <c r="H101" s="759"/>
      <c r="I101" s="759"/>
      <c r="J101" s="759"/>
      <c r="K101" s="759"/>
      <c r="L101" s="759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</row>
    <row r="102" spans="1:25" s="741" customFormat="1" ht="19.5" customHeight="1">
      <c r="A102" s="745" t="s">
        <v>2874</v>
      </c>
      <c r="B102" s="761"/>
      <c r="C102" s="747"/>
      <c r="D102" s="747"/>
      <c r="E102" s="760"/>
      <c r="F102" s="758">
        <f>B102-D102</f>
        <v>0</v>
      </c>
      <c r="G102" s="759">
        <f t="shared" si="5"/>
        <v>0</v>
      </c>
      <c r="H102" s="759"/>
      <c r="I102" s="759"/>
      <c r="J102" s="759"/>
      <c r="K102" s="759"/>
      <c r="L102" s="759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</row>
    <row r="103" spans="1:25" s="741" customFormat="1" ht="19.5" customHeight="1">
      <c r="A103" s="745"/>
      <c r="B103" s="747"/>
      <c r="C103" s="747"/>
      <c r="D103" s="747"/>
      <c r="E103" s="748"/>
      <c r="F103" s="758"/>
      <c r="G103" s="759">
        <f t="shared" si="5"/>
        <v>0</v>
      </c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</row>
    <row r="104" spans="1:25" s="757" customFormat="1" ht="19.5" customHeight="1">
      <c r="A104" s="751" t="s">
        <v>2875</v>
      </c>
      <c r="B104" s="753"/>
      <c r="C104" s="753"/>
      <c r="D104" s="753"/>
      <c r="E104" s="754"/>
      <c r="F104" s="758"/>
      <c r="G104" s="759">
        <f t="shared" si="5"/>
        <v>0</v>
      </c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</row>
    <row r="105" spans="1:25" s="757" customFormat="1" ht="19.5" customHeight="1" thickBot="1">
      <c r="A105" s="765" t="s">
        <v>2725</v>
      </c>
      <c r="B105" s="766"/>
      <c r="C105" s="767"/>
      <c r="D105" s="767"/>
      <c r="E105" s="768"/>
      <c r="F105" s="769"/>
      <c r="G105" s="770">
        <f t="shared" si="5"/>
        <v>0</v>
      </c>
      <c r="H105" s="770"/>
      <c r="I105" s="770"/>
      <c r="J105" s="770"/>
      <c r="K105" s="770"/>
      <c r="L105" s="770"/>
      <c r="M105" s="770"/>
      <c r="N105" s="770"/>
      <c r="O105" s="770"/>
      <c r="P105" s="770"/>
      <c r="Q105" s="770"/>
      <c r="R105" s="770"/>
      <c r="S105" s="770"/>
      <c r="T105" s="770"/>
      <c r="U105" s="770"/>
      <c r="V105" s="770"/>
      <c r="W105" s="770"/>
      <c r="X105" s="770"/>
      <c r="Y105" s="770"/>
    </row>
    <row r="106" spans="1:25">
      <c r="C106" s="796">
        <f>C57-C105</f>
        <v>0</v>
      </c>
      <c r="D106" s="771"/>
      <c r="E106" s="797">
        <f>E57-E105</f>
        <v>0</v>
      </c>
      <c r="F106" s="772"/>
      <c r="H106" s="773">
        <f>SUM(H9:H105)</f>
        <v>0</v>
      </c>
      <c r="I106" s="773"/>
      <c r="J106" s="773">
        <f>SUM(J9:J105)</f>
        <v>0</v>
      </c>
      <c r="K106" s="773"/>
      <c r="L106" s="773">
        <f>SUM(L9:L105)</f>
        <v>0</v>
      </c>
      <c r="M106" s="773">
        <f>SUM(M9:M105)</f>
        <v>0</v>
      </c>
      <c r="N106" s="773"/>
      <c r="O106" s="773">
        <f>SUM(O9:O105)</f>
        <v>0</v>
      </c>
      <c r="P106" s="773"/>
      <c r="Q106" s="773">
        <f>SUM(Q9:Q105)</f>
        <v>0</v>
      </c>
      <c r="R106" s="773"/>
      <c r="S106" s="773">
        <f>SUM(S9:S105)</f>
        <v>0</v>
      </c>
      <c r="T106" s="773"/>
      <c r="U106" s="773">
        <f>SUM(U9:U105)</f>
        <v>0</v>
      </c>
      <c r="V106" s="773"/>
      <c r="W106" s="773">
        <f>SUM(W9:W105)</f>
        <v>0</v>
      </c>
      <c r="X106" s="773"/>
      <c r="Y106" s="773">
        <f>SUM(Y9:Y105)</f>
        <v>0</v>
      </c>
    </row>
    <row r="107" spans="1:25">
      <c r="C107" s="774"/>
      <c r="D107" s="775"/>
      <c r="E107" s="774">
        <f>E57-E105</f>
        <v>0</v>
      </c>
      <c r="H107" s="773"/>
      <c r="I107" s="773"/>
      <c r="J107" s="773"/>
      <c r="K107" s="773"/>
      <c r="L107" s="773"/>
      <c r="M107" s="773"/>
      <c r="N107" s="773"/>
      <c r="O107" s="773"/>
      <c r="P107" s="773"/>
      <c r="Q107" s="773"/>
      <c r="R107" s="773"/>
      <c r="S107" s="773"/>
      <c r="T107" s="773"/>
      <c r="U107" s="773"/>
      <c r="V107" s="773"/>
      <c r="W107" s="773"/>
      <c r="X107" s="773"/>
      <c r="Y107" s="773">
        <f>W106+Y106</f>
        <v>0</v>
      </c>
    </row>
    <row r="108" spans="1:25">
      <c r="C108" s="771"/>
      <c r="D108" s="775"/>
      <c r="E108" s="776"/>
    </row>
    <row r="109" spans="1:25">
      <c r="A109" s="777" t="s">
        <v>2726</v>
      </c>
      <c r="B109" s="778" t="s">
        <v>2727</v>
      </c>
      <c r="C109" s="778" t="s">
        <v>2876</v>
      </c>
      <c r="D109" s="778" t="s">
        <v>2728</v>
      </c>
      <c r="F109" s="779" t="s">
        <v>1152</v>
      </c>
      <c r="G109" s="780">
        <f>H106</f>
        <v>0</v>
      </c>
    </row>
    <row r="110" spans="1:25">
      <c r="A110" s="781" t="s">
        <v>2729</v>
      </c>
      <c r="B110" s="780"/>
      <c r="C110" s="780">
        <f>SUMIF($I$9:$I$105,A110,$J$9:$J$105)</f>
        <v>0</v>
      </c>
      <c r="D110" s="780">
        <f t="shared" ref="D110:D121" si="6">B110-C110</f>
        <v>0</v>
      </c>
      <c r="E110" s="782"/>
      <c r="F110" s="779" t="s">
        <v>2730</v>
      </c>
      <c r="G110" s="780">
        <f>J106</f>
        <v>0</v>
      </c>
    </row>
    <row r="111" spans="1:25">
      <c r="A111" s="781" t="s">
        <v>10</v>
      </c>
      <c r="B111" s="780"/>
      <c r="C111" s="780">
        <f>SUMIF($I$9:$I$105,A111,$J$9:$J$105)</f>
        <v>0</v>
      </c>
      <c r="D111" s="780">
        <f t="shared" si="6"/>
        <v>0</v>
      </c>
      <c r="F111" s="779" t="s">
        <v>2679</v>
      </c>
      <c r="G111" s="780">
        <f>L106</f>
        <v>0</v>
      </c>
    </row>
    <row r="112" spans="1:25">
      <c r="A112" s="781" t="s">
        <v>2731</v>
      </c>
      <c r="B112" s="780"/>
      <c r="C112" s="780">
        <f>SUMIF($I$9:$I$105,A112,$J$9:$J$105)</f>
        <v>0</v>
      </c>
      <c r="D112" s="780">
        <f t="shared" si="6"/>
        <v>0</v>
      </c>
      <c r="F112" s="779" t="s">
        <v>2680</v>
      </c>
      <c r="G112" s="780">
        <f>M106</f>
        <v>0</v>
      </c>
    </row>
    <row r="113" spans="1:7">
      <c r="A113" s="781" t="s">
        <v>2877</v>
      </c>
      <c r="B113" s="780"/>
      <c r="C113" s="780">
        <f>SUMIF($I$9:$I$105,A113,$J$9:$J$105)</f>
        <v>0</v>
      </c>
      <c r="D113" s="780">
        <f t="shared" si="6"/>
        <v>0</v>
      </c>
      <c r="F113" s="783" t="s">
        <v>2732</v>
      </c>
      <c r="G113" s="784">
        <f>SUM(G109:G112)</f>
        <v>0</v>
      </c>
    </row>
    <row r="114" spans="1:7">
      <c r="A114" s="781" t="s">
        <v>2878</v>
      </c>
      <c r="B114" s="780"/>
      <c r="C114" s="780">
        <f>-SUMIF($K$9:$K$105,A114,$L$9:$L$105)</f>
        <v>0</v>
      </c>
      <c r="D114" s="780">
        <f t="shared" si="6"/>
        <v>0</v>
      </c>
      <c r="F114" s="783" t="s">
        <v>2733</v>
      </c>
      <c r="G114" s="784">
        <f>SUM(G115:G116)</f>
        <v>0</v>
      </c>
    </row>
    <row r="115" spans="1:7">
      <c r="A115" s="781" t="s">
        <v>2879</v>
      </c>
      <c r="B115" s="780"/>
      <c r="C115" s="780">
        <f>-SUMIF($K$9:$K$105,A115,$L$9:$L$105)</f>
        <v>0</v>
      </c>
      <c r="D115" s="780">
        <f t="shared" si="6"/>
        <v>0</v>
      </c>
      <c r="F115" s="779" t="s">
        <v>2734</v>
      </c>
      <c r="G115" s="780">
        <f>O106</f>
        <v>0</v>
      </c>
    </row>
    <row r="116" spans="1:7">
      <c r="A116" s="781" t="s">
        <v>2880</v>
      </c>
      <c r="B116" s="780"/>
      <c r="C116" s="780">
        <f>-SUMIF($K$9:$K$105,A116,$L$9:$L$105)</f>
        <v>0</v>
      </c>
      <c r="D116" s="780">
        <f t="shared" si="6"/>
        <v>0</v>
      </c>
      <c r="F116" s="779" t="s">
        <v>2735</v>
      </c>
      <c r="G116" s="780">
        <f>Q106</f>
        <v>0</v>
      </c>
    </row>
    <row r="117" spans="1:7">
      <c r="A117" s="781" t="s">
        <v>2881</v>
      </c>
      <c r="B117" s="780"/>
      <c r="C117" s="780">
        <f>SUMIF($I$9:$I$105,A117,$J$9:$J$105)</f>
        <v>0</v>
      </c>
      <c r="D117" s="780">
        <f t="shared" si="6"/>
        <v>0</v>
      </c>
      <c r="F117" s="783" t="s">
        <v>2736</v>
      </c>
      <c r="G117" s="784">
        <f>SUM(G118:G119)</f>
        <v>0</v>
      </c>
    </row>
    <row r="118" spans="1:7">
      <c r="A118" s="781" t="s">
        <v>2882</v>
      </c>
      <c r="B118" s="780"/>
      <c r="C118" s="780">
        <f>SUMIF($I$9:$I$105,A118,$J$9:$J$105)</f>
        <v>0</v>
      </c>
      <c r="D118" s="780">
        <f t="shared" si="6"/>
        <v>0</v>
      </c>
      <c r="F118" s="779" t="s">
        <v>2737</v>
      </c>
      <c r="G118" s="780">
        <f>S106</f>
        <v>0</v>
      </c>
    </row>
    <row r="119" spans="1:7">
      <c r="A119" s="781" t="s">
        <v>2883</v>
      </c>
      <c r="B119" s="780"/>
      <c r="C119" s="780">
        <f>SUMIF($I$9:$I$105,A119,$J$9:$J$105)</f>
        <v>0</v>
      </c>
      <c r="D119" s="780">
        <f t="shared" si="6"/>
        <v>0</v>
      </c>
      <c r="F119" s="779" t="s">
        <v>2738</v>
      </c>
      <c r="G119" s="780">
        <f>U106</f>
        <v>0</v>
      </c>
    </row>
    <row r="120" spans="1:7">
      <c r="A120" s="781" t="s">
        <v>2884</v>
      </c>
      <c r="B120" s="780"/>
      <c r="C120" s="780">
        <f>SUMIF($I$9:$I$105,A120,$J$9:$J$105)</f>
        <v>0</v>
      </c>
      <c r="D120" s="780">
        <f t="shared" si="6"/>
        <v>0</v>
      </c>
      <c r="F120" s="783" t="s">
        <v>2739</v>
      </c>
      <c r="G120" s="784">
        <f>G113+G114+G117</f>
        <v>0</v>
      </c>
    </row>
    <row r="121" spans="1:7">
      <c r="A121" s="781" t="s">
        <v>2885</v>
      </c>
      <c r="B121" s="780"/>
      <c r="C121" s="780">
        <f>SUMIF($I$9:$I$105,A121,$J$9:$J$105)</f>
        <v>0</v>
      </c>
      <c r="D121" s="780">
        <f t="shared" si="6"/>
        <v>0</v>
      </c>
      <c r="F121" s="779" t="s">
        <v>2740</v>
      </c>
      <c r="G121" s="780">
        <f>D12+D13</f>
        <v>0</v>
      </c>
    </row>
    <row r="122" spans="1:7">
      <c r="F122" s="779" t="s">
        <v>2741</v>
      </c>
      <c r="G122" s="780">
        <f>G120+G121</f>
        <v>0</v>
      </c>
    </row>
    <row r="123" spans="1:7">
      <c r="F123" s="779" t="s">
        <v>2742</v>
      </c>
      <c r="G123" s="780">
        <f>B12+B13</f>
        <v>0</v>
      </c>
    </row>
    <row r="124" spans="1:7">
      <c r="F124" s="779" t="s">
        <v>2743</v>
      </c>
      <c r="G124" s="780">
        <f>G122-G123</f>
        <v>0</v>
      </c>
    </row>
  </sheetData>
  <mergeCells count="22">
    <mergeCell ref="A1:E1"/>
    <mergeCell ref="A3:E3"/>
    <mergeCell ref="A4:E4"/>
    <mergeCell ref="A7:A8"/>
    <mergeCell ref="B7:C7"/>
    <mergeCell ref="D7:E7"/>
    <mergeCell ref="B8:C8"/>
    <mergeCell ref="D8:E8"/>
    <mergeCell ref="R8:S8"/>
    <mergeCell ref="T8:U8"/>
    <mergeCell ref="V8:W8"/>
    <mergeCell ref="X8:Y8"/>
    <mergeCell ref="F7:F8"/>
    <mergeCell ref="G7:G8"/>
    <mergeCell ref="H7:M7"/>
    <mergeCell ref="N7:Q7"/>
    <mergeCell ref="R7:U7"/>
    <mergeCell ref="V7:Y7"/>
    <mergeCell ref="I8:J8"/>
    <mergeCell ref="K8:L8"/>
    <mergeCell ref="N8:O8"/>
    <mergeCell ref="P8:Q8"/>
  </mergeCells>
  <phoneticPr fontId="3" type="noConversion"/>
  <printOptions horizontalCentered="1"/>
  <pageMargins left="0.15748031496062992" right="0.15748031496062992" top="0.98425196850393704" bottom="0.39370078740157483" header="0.51181102362204722" footer="0.51181102362204722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00B050"/>
  </sheetPr>
  <dimension ref="A1:I284"/>
  <sheetViews>
    <sheetView zoomScaleSheetLayoutView="85" workbookViewId="0">
      <selection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9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9" s="503" customFormat="1" ht="15.75" customHeight="1">
      <c r="A2" s="500" t="str">
        <f>기본사항!G2&amp;"년 세무조정 기본 Data"</f>
        <v>2011년 세무조정 기본 Data</v>
      </c>
      <c r="B2" s="501"/>
      <c r="C2" s="501"/>
      <c r="D2" s="501"/>
      <c r="E2" s="1342" t="s">
        <v>2364</v>
      </c>
      <c r="F2" s="1344">
        <f>기본사항!$C$14</f>
        <v>40563</v>
      </c>
      <c r="G2" s="1345" t="str">
        <f>기본사항!$C$17</f>
        <v>Kbj</v>
      </c>
      <c r="H2" s="591" t="s">
        <v>2588</v>
      </c>
      <c r="I2" s="591" t="s">
        <v>2645</v>
      </c>
    </row>
    <row r="3" spans="1:9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 t="s">
        <v>2589</v>
      </c>
      <c r="I3" s="591" t="s">
        <v>2646</v>
      </c>
    </row>
    <row r="5" spans="1:9" ht="15.75" customHeight="1">
      <c r="A5" s="505" t="s">
        <v>2573</v>
      </c>
      <c r="B5" s="505"/>
    </row>
    <row r="6" spans="1:9" ht="15.75" customHeight="1">
      <c r="C6" s="1349" t="s">
        <v>2344</v>
      </c>
      <c r="D6" s="1351" t="s">
        <v>2438</v>
      </c>
      <c r="E6" s="508" t="s">
        <v>2442</v>
      </c>
      <c r="F6" s="508"/>
      <c r="G6" s="1353" t="s">
        <v>2441</v>
      </c>
    </row>
    <row r="7" spans="1:9" ht="15.75" customHeight="1" thickBot="1">
      <c r="C7" s="1350"/>
      <c r="D7" s="1352"/>
      <c r="E7" s="602" t="s">
        <v>2439</v>
      </c>
      <c r="F7" s="602" t="s">
        <v>2440</v>
      </c>
      <c r="G7" s="1354"/>
    </row>
    <row r="8" spans="1:9" ht="15.75" customHeight="1">
      <c r="C8" s="668" t="s">
        <v>2383</v>
      </c>
      <c r="D8" s="669"/>
      <c r="E8" s="670"/>
      <c r="F8" s="671"/>
      <c r="G8" s="672">
        <f>D8-E8+F8</f>
        <v>0</v>
      </c>
    </row>
    <row r="9" spans="1:9" ht="15.75" customHeight="1">
      <c r="C9" s="673" t="s">
        <v>2421</v>
      </c>
      <c r="D9" s="674"/>
      <c r="E9" s="675"/>
      <c r="F9" s="676"/>
      <c r="G9" s="677">
        <f t="shared" ref="G9:G28" si="0">D9-E9+F9</f>
        <v>0</v>
      </c>
    </row>
    <row r="10" spans="1:9" ht="15.75" customHeight="1" thickBot="1">
      <c r="C10" s="678" t="s">
        <v>2450</v>
      </c>
      <c r="D10" s="679"/>
      <c r="E10" s="680"/>
      <c r="F10" s="681"/>
      <c r="G10" s="682">
        <f t="shared" si="0"/>
        <v>0</v>
      </c>
    </row>
    <row r="11" spans="1:9" ht="15.75" customHeight="1">
      <c r="C11" s="653" t="s">
        <v>2517</v>
      </c>
      <c r="D11" s="654"/>
      <c r="E11" s="655"/>
      <c r="F11" s="656"/>
      <c r="G11" s="657">
        <f t="shared" si="0"/>
        <v>0</v>
      </c>
    </row>
    <row r="12" spans="1:9" ht="15.75" customHeight="1">
      <c r="C12" s="658" t="s">
        <v>2518</v>
      </c>
      <c r="D12" s="659"/>
      <c r="E12" s="660"/>
      <c r="F12" s="661"/>
      <c r="G12" s="662">
        <f t="shared" si="0"/>
        <v>0</v>
      </c>
    </row>
    <row r="13" spans="1:9" ht="15.75" customHeight="1">
      <c r="C13" s="658" t="s">
        <v>2521</v>
      </c>
      <c r="D13" s="659"/>
      <c r="E13" s="660"/>
      <c r="F13" s="661"/>
      <c r="G13" s="662">
        <f t="shared" si="0"/>
        <v>0</v>
      </c>
    </row>
    <row r="14" spans="1:9" ht="15.75" customHeight="1">
      <c r="C14" s="658" t="s">
        <v>2520</v>
      </c>
      <c r="D14" s="659"/>
      <c r="E14" s="660"/>
      <c r="F14" s="661"/>
      <c r="G14" s="662">
        <f t="shared" si="0"/>
        <v>0</v>
      </c>
    </row>
    <row r="15" spans="1:9" ht="15.75" customHeight="1">
      <c r="C15" s="658" t="s">
        <v>2658</v>
      </c>
      <c r="D15" s="659"/>
      <c r="E15" s="660"/>
      <c r="F15" s="661"/>
      <c r="G15" s="662">
        <f t="shared" si="0"/>
        <v>0</v>
      </c>
    </row>
    <row r="16" spans="1:9" ht="15.75" customHeight="1">
      <c r="C16" s="658" t="s">
        <v>2522</v>
      </c>
      <c r="D16" s="659"/>
      <c r="E16" s="660"/>
      <c r="F16" s="661"/>
      <c r="G16" s="662">
        <f t="shared" si="0"/>
        <v>0</v>
      </c>
    </row>
    <row r="17" spans="1:9" ht="15.75" customHeight="1">
      <c r="C17" s="658" t="s">
        <v>2523</v>
      </c>
      <c r="D17" s="659"/>
      <c r="E17" s="660"/>
      <c r="F17" s="661"/>
      <c r="G17" s="662">
        <f t="shared" si="0"/>
        <v>0</v>
      </c>
    </row>
    <row r="18" spans="1:9" ht="15.75" customHeight="1">
      <c r="C18" s="658" t="s">
        <v>2656</v>
      </c>
      <c r="D18" s="659"/>
      <c r="E18" s="660"/>
      <c r="F18" s="661"/>
      <c r="G18" s="662">
        <f t="shared" si="0"/>
        <v>0</v>
      </c>
    </row>
    <row r="19" spans="1:9" ht="15.75" customHeight="1">
      <c r="C19" s="658" t="s">
        <v>2657</v>
      </c>
      <c r="D19" s="659"/>
      <c r="E19" s="660"/>
      <c r="F19" s="661"/>
      <c r="G19" s="662">
        <f t="shared" si="0"/>
        <v>0</v>
      </c>
    </row>
    <row r="20" spans="1:9" ht="15.75" customHeight="1">
      <c r="C20" s="658" t="s">
        <v>2519</v>
      </c>
      <c r="D20" s="659"/>
      <c r="E20" s="660"/>
      <c r="F20" s="661"/>
      <c r="G20" s="662">
        <f t="shared" si="0"/>
        <v>0</v>
      </c>
    </row>
    <row r="21" spans="1:9" ht="15.75" customHeight="1">
      <c r="C21" s="658" t="s">
        <v>2582</v>
      </c>
      <c r="D21" s="659"/>
      <c r="E21" s="660"/>
      <c r="F21" s="661"/>
      <c r="G21" s="662">
        <f t="shared" si="0"/>
        <v>0</v>
      </c>
    </row>
    <row r="22" spans="1:9" ht="15.75" customHeight="1">
      <c r="C22" s="658" t="s">
        <v>2583</v>
      </c>
      <c r="D22" s="659"/>
      <c r="E22" s="660"/>
      <c r="F22" s="661"/>
      <c r="G22" s="662">
        <f t="shared" si="0"/>
        <v>0</v>
      </c>
    </row>
    <row r="23" spans="1:9" ht="15.75" customHeight="1" thickBot="1">
      <c r="C23" s="663" t="s">
        <v>2584</v>
      </c>
      <c r="D23" s="664"/>
      <c r="E23" s="665"/>
      <c r="F23" s="666"/>
      <c r="G23" s="667">
        <f t="shared" si="0"/>
        <v>0</v>
      </c>
    </row>
    <row r="24" spans="1:9" ht="15.75" customHeight="1">
      <c r="C24" s="686" t="s">
        <v>2647</v>
      </c>
      <c r="D24" s="687"/>
      <c r="E24" s="688"/>
      <c r="F24" s="689"/>
      <c r="G24" s="690">
        <f t="shared" si="0"/>
        <v>0</v>
      </c>
    </row>
    <row r="25" spans="1:9" ht="15.75" customHeight="1">
      <c r="C25" s="691" t="s">
        <v>2648</v>
      </c>
      <c r="D25" s="692"/>
      <c r="E25" s="693"/>
      <c r="F25" s="694"/>
      <c r="G25" s="695">
        <f t="shared" si="0"/>
        <v>0</v>
      </c>
    </row>
    <row r="26" spans="1:9" ht="15.75" customHeight="1">
      <c r="C26" s="691"/>
      <c r="D26" s="692"/>
      <c r="E26" s="693"/>
      <c r="F26" s="694"/>
      <c r="G26" s="695">
        <f t="shared" si="0"/>
        <v>0</v>
      </c>
    </row>
    <row r="27" spans="1:9" ht="15.75" customHeight="1">
      <c r="C27" s="691"/>
      <c r="D27" s="692"/>
      <c r="E27" s="693"/>
      <c r="F27" s="694"/>
      <c r="G27" s="695">
        <f t="shared" si="0"/>
        <v>0</v>
      </c>
    </row>
    <row r="28" spans="1:9" ht="15.75" customHeight="1" thickBot="1">
      <c r="C28" s="696"/>
      <c r="D28" s="697"/>
      <c r="E28" s="698"/>
      <c r="F28" s="699"/>
      <c r="G28" s="700">
        <f t="shared" si="0"/>
        <v>0</v>
      </c>
    </row>
    <row r="29" spans="1:9" ht="15.75" customHeight="1">
      <c r="C29" s="651" t="s">
        <v>2443</v>
      </c>
      <c r="D29" s="683">
        <f>SUM(D8:D28)</f>
        <v>0</v>
      </c>
      <c r="E29" s="684"/>
      <c r="F29" s="652"/>
      <c r="G29" s="685">
        <f>SUM(G8:G28)</f>
        <v>0</v>
      </c>
    </row>
    <row r="31" spans="1:9" ht="15.75" customHeight="1">
      <c r="A31" s="505" t="s">
        <v>2566</v>
      </c>
      <c r="B31" s="505"/>
    </row>
    <row r="32" spans="1:9" ht="15.75" customHeight="1">
      <c r="A32" s="528" t="s">
        <v>2348</v>
      </c>
      <c r="B32" s="529" t="s">
        <v>2392</v>
      </c>
      <c r="C32" s="529"/>
      <c r="H32" s="620"/>
      <c r="I32" s="620"/>
    </row>
    <row r="33" spans="1:9" ht="15.75" customHeight="1">
      <c r="A33" s="528"/>
      <c r="B33" s="528"/>
      <c r="C33" s="550" t="s">
        <v>2372</v>
      </c>
      <c r="D33" s="532"/>
      <c r="H33" s="545"/>
      <c r="I33" s="545"/>
    </row>
    <row r="34" spans="1:9" ht="15.75" customHeight="1">
      <c r="A34" s="528"/>
      <c r="B34" s="528"/>
      <c r="C34" s="1355" t="s">
        <v>2349</v>
      </c>
      <c r="D34" s="546" t="s">
        <v>2367</v>
      </c>
      <c r="E34" s="547"/>
      <c r="F34" s="546" t="s">
        <v>2369</v>
      </c>
      <c r="G34" s="547"/>
      <c r="H34" s="615"/>
      <c r="I34" s="568"/>
    </row>
    <row r="35" spans="1:9" ht="15.75" customHeight="1">
      <c r="A35" s="528"/>
      <c r="B35" s="528"/>
      <c r="C35" s="1356"/>
      <c r="D35" s="533" t="s">
        <v>2365</v>
      </c>
      <c r="E35" s="533" t="s">
        <v>2366</v>
      </c>
      <c r="F35" s="533" t="s">
        <v>2365</v>
      </c>
      <c r="G35" s="533" t="s">
        <v>2366</v>
      </c>
      <c r="H35" s="593"/>
      <c r="I35" s="593"/>
    </row>
    <row r="36" spans="1:9" ht="15.75" customHeight="1">
      <c r="A36" s="528"/>
      <c r="B36" s="528"/>
      <c r="C36" s="556" t="s">
        <v>2590</v>
      </c>
      <c r="D36" s="556"/>
      <c r="E36" s="557"/>
      <c r="F36" s="557"/>
      <c r="G36" s="557"/>
      <c r="H36" s="545"/>
      <c r="I36" s="545"/>
    </row>
    <row r="37" spans="1:9" ht="15.75" customHeight="1">
      <c r="A37" s="528"/>
      <c r="B37" s="528"/>
      <c r="C37" s="556"/>
      <c r="D37" s="556"/>
      <c r="E37" s="557"/>
      <c r="F37" s="557"/>
      <c r="G37" s="557"/>
      <c r="H37" s="545"/>
      <c r="I37" s="545"/>
    </row>
    <row r="38" spans="1:9" ht="15.75" customHeight="1">
      <c r="A38" s="528"/>
      <c r="B38" s="528"/>
      <c r="C38" s="558"/>
      <c r="D38" s="558"/>
      <c r="E38" s="558"/>
      <c r="F38" s="558"/>
      <c r="G38" s="558"/>
      <c r="H38" s="545"/>
      <c r="I38" s="545"/>
    </row>
    <row r="39" spans="1:9" ht="15.75" customHeight="1">
      <c r="A39" s="528"/>
      <c r="B39" s="528"/>
      <c r="C39" s="532" t="s">
        <v>2351</v>
      </c>
      <c r="D39" s="532">
        <f>SUM(D36:D38)</f>
        <v>0</v>
      </c>
      <c r="E39" s="532">
        <f>SUM(E36:E38)</f>
        <v>0</v>
      </c>
      <c r="F39" s="506">
        <f t="shared" ref="F39:G39" si="1">SUM(F36:F38)</f>
        <v>0</v>
      </c>
      <c r="G39" s="506">
        <f t="shared" si="1"/>
        <v>0</v>
      </c>
      <c r="H39" s="545"/>
      <c r="I39" s="545"/>
    </row>
    <row r="40" spans="1:9" ht="15.75" customHeight="1" thickBot="1">
      <c r="A40" s="528"/>
      <c r="B40" s="528"/>
      <c r="C40" s="529"/>
      <c r="D40" s="506" t="s">
        <v>2370</v>
      </c>
      <c r="E40" s="557"/>
      <c r="H40" s="545"/>
      <c r="I40" s="545"/>
    </row>
    <row r="41" spans="1:9" ht="15.75" customHeight="1" thickBot="1">
      <c r="A41" s="528"/>
      <c r="B41" s="528"/>
      <c r="C41" s="529"/>
      <c r="D41" s="506" t="s">
        <v>2371</v>
      </c>
      <c r="E41" s="549" t="b">
        <f>E39=E40</f>
        <v>1</v>
      </c>
    </row>
    <row r="42" spans="1:9" ht="15.75" customHeight="1">
      <c r="A42" s="528"/>
      <c r="B42" s="528"/>
      <c r="C42" s="529"/>
    </row>
    <row r="43" spans="1:9" ht="15.75" customHeight="1">
      <c r="A43" s="528"/>
      <c r="B43" s="528"/>
      <c r="C43" s="550" t="s">
        <v>2389</v>
      </c>
    </row>
    <row r="44" spans="1:9" ht="15.75" customHeight="1">
      <c r="A44" s="528"/>
      <c r="B44" s="528"/>
      <c r="C44" s="551" t="s">
        <v>636</v>
      </c>
      <c r="D44" s="519" t="s">
        <v>2390</v>
      </c>
    </row>
    <row r="45" spans="1:9" ht="15.75" customHeight="1">
      <c r="A45" s="528"/>
      <c r="B45" s="528"/>
      <c r="C45" s="552" t="s">
        <v>2382</v>
      </c>
      <c r="D45" s="560"/>
    </row>
    <row r="46" spans="1:9" ht="15.75" customHeight="1">
      <c r="A46" s="528"/>
      <c r="B46" s="528"/>
      <c r="C46" s="552" t="s">
        <v>2388</v>
      </c>
      <c r="D46" s="560"/>
    </row>
    <row r="47" spans="1:9" ht="15.75" customHeight="1">
      <c r="A47" s="528"/>
      <c r="B47" s="528"/>
      <c r="C47" s="529"/>
    </row>
    <row r="48" spans="1:9" ht="15.75" customHeight="1">
      <c r="A48" s="528"/>
      <c r="B48" s="528"/>
      <c r="C48" s="530" t="s">
        <v>2409</v>
      </c>
      <c r="D48" s="531"/>
    </row>
    <row r="49" spans="1:8" ht="15.75" customHeight="1">
      <c r="A49" s="528"/>
      <c r="B49" s="528"/>
      <c r="C49" s="562" t="s">
        <v>2349</v>
      </c>
      <c r="D49" s="563" t="s">
        <v>2345</v>
      </c>
      <c r="F49" s="528" t="s">
        <v>2427</v>
      </c>
    </row>
    <row r="50" spans="1:8" ht="15.75" customHeight="1">
      <c r="A50" s="528"/>
      <c r="B50" s="528"/>
      <c r="C50" s="564" t="s">
        <v>2350</v>
      </c>
      <c r="D50" s="565"/>
      <c r="F50" s="517" t="s">
        <v>636</v>
      </c>
      <c r="G50" s="518" t="s">
        <v>715</v>
      </c>
      <c r="H50" s="519" t="s">
        <v>2430</v>
      </c>
    </row>
    <row r="51" spans="1:8" ht="15.75" customHeight="1">
      <c r="A51" s="528"/>
      <c r="B51" s="528"/>
      <c r="C51" s="564" t="s">
        <v>2410</v>
      </c>
      <c r="D51" s="565"/>
      <c r="F51" s="520" t="s">
        <v>2428</v>
      </c>
      <c r="G51" s="559"/>
      <c r="H51" s="522" t="s">
        <v>2431</v>
      </c>
    </row>
    <row r="52" spans="1:8" ht="15.75" customHeight="1">
      <c r="A52" s="528"/>
      <c r="B52" s="528"/>
      <c r="C52" s="564" t="s">
        <v>2411</v>
      </c>
      <c r="D52" s="566">
        <f>G53</f>
        <v>0</v>
      </c>
      <c r="F52" s="520" t="s">
        <v>2429</v>
      </c>
      <c r="G52" s="559"/>
      <c r="H52" s="522" t="s">
        <v>2432</v>
      </c>
    </row>
    <row r="53" spans="1:8" ht="15.75" customHeight="1">
      <c r="A53" s="528"/>
      <c r="B53" s="528"/>
      <c r="C53" s="564" t="s">
        <v>2412</v>
      </c>
      <c r="D53" s="565">
        <f>D50+D51-D52</f>
        <v>0</v>
      </c>
      <c r="F53" s="520" t="s">
        <v>2433</v>
      </c>
      <c r="G53" s="521">
        <f>SUM(G51:G52)</f>
        <v>0</v>
      </c>
      <c r="H53" s="522"/>
    </row>
    <row r="54" spans="1:8" ht="15.75" customHeight="1">
      <c r="A54" s="528"/>
      <c r="B54" s="528"/>
      <c r="C54" s="531"/>
      <c r="D54" s="531"/>
    </row>
    <row r="55" spans="1:8" ht="15.75" customHeight="1">
      <c r="A55" s="528"/>
      <c r="B55" s="528"/>
      <c r="C55" s="650" t="s">
        <v>2644</v>
      </c>
      <c r="D55" s="598">
        <v>2</v>
      </c>
    </row>
    <row r="56" spans="1:8" ht="15.75" customHeight="1">
      <c r="A56" s="528"/>
      <c r="B56" s="528"/>
      <c r="C56" s="593"/>
      <c r="D56" s="593"/>
    </row>
    <row r="57" spans="1:8" ht="15.75" customHeight="1">
      <c r="A57" s="528" t="s">
        <v>1069</v>
      </c>
      <c r="B57" s="506" t="s">
        <v>2394</v>
      </c>
      <c r="C57" s="529"/>
    </row>
    <row r="58" spans="1:8" ht="15.75" customHeight="1">
      <c r="A58" s="528"/>
      <c r="B58" s="528" t="s">
        <v>1334</v>
      </c>
      <c r="C58" s="529" t="s">
        <v>2396</v>
      </c>
    </row>
    <row r="59" spans="1:8" ht="15.75" customHeight="1">
      <c r="A59" s="528"/>
      <c r="B59" s="528"/>
      <c r="C59" s="551" t="s">
        <v>636</v>
      </c>
      <c r="D59" s="561" t="s">
        <v>2398</v>
      </c>
      <c r="E59" s="518" t="s">
        <v>2399</v>
      </c>
      <c r="F59" s="518" t="s">
        <v>2400</v>
      </c>
      <c r="G59" s="519" t="s">
        <v>2401</v>
      </c>
    </row>
    <row r="60" spans="1:8" ht="15.75" customHeight="1">
      <c r="A60" s="528"/>
      <c r="B60" s="528"/>
      <c r="C60" s="552" t="s">
        <v>2397</v>
      </c>
      <c r="D60" s="559"/>
      <c r="E60" s="559"/>
      <c r="F60" s="559"/>
      <c r="G60" s="522">
        <f>D60-E60+F60</f>
        <v>0</v>
      </c>
    </row>
    <row r="61" spans="1:8" ht="15.75" customHeight="1">
      <c r="A61" s="528"/>
      <c r="B61" s="528"/>
      <c r="C61" s="529"/>
    </row>
    <row r="62" spans="1:8" ht="15.75" customHeight="1">
      <c r="A62" s="528" t="s">
        <v>1070</v>
      </c>
      <c r="B62" s="506" t="s">
        <v>2444</v>
      </c>
      <c r="C62" s="530"/>
      <c r="D62" s="531"/>
      <c r="E62" s="532"/>
      <c r="F62" s="532"/>
      <c r="G62" s="532"/>
      <c r="H62" s="532"/>
    </row>
    <row r="63" spans="1:8" ht="15.75" customHeight="1">
      <c r="A63" s="528"/>
      <c r="B63" s="528" t="s">
        <v>2395</v>
      </c>
      <c r="C63" s="531" t="s">
        <v>2445</v>
      </c>
      <c r="D63" s="531"/>
      <c r="E63" s="532"/>
      <c r="F63" s="531"/>
      <c r="G63" s="531"/>
      <c r="H63" s="532"/>
    </row>
    <row r="64" spans="1:8" ht="15.75" customHeight="1">
      <c r="A64" s="528"/>
      <c r="B64" s="528"/>
      <c r="C64" s="599" t="s">
        <v>2349</v>
      </c>
      <c r="D64" s="563" t="s">
        <v>2345</v>
      </c>
      <c r="E64" s="532"/>
      <c r="F64" s="599" t="s">
        <v>2349</v>
      </c>
      <c r="G64" s="563" t="s">
        <v>2345</v>
      </c>
      <c r="H64" s="532"/>
    </row>
    <row r="65" spans="1:8" ht="15.75" customHeight="1">
      <c r="A65" s="528"/>
      <c r="B65" s="528"/>
      <c r="C65" s="564" t="s">
        <v>2350</v>
      </c>
      <c r="D65" s="565"/>
      <c r="E65" s="532"/>
      <c r="F65" s="564" t="s">
        <v>2591</v>
      </c>
      <c r="G65" s="565"/>
      <c r="H65" s="532"/>
    </row>
    <row r="66" spans="1:8" ht="15.75" customHeight="1">
      <c r="A66" s="528"/>
      <c r="B66" s="528"/>
      <c r="C66" s="564" t="s">
        <v>2410</v>
      </c>
      <c r="D66" s="566">
        <f>G67</f>
        <v>0</v>
      </c>
      <c r="E66" s="532"/>
      <c r="F66" s="564" t="s">
        <v>2592</v>
      </c>
      <c r="G66" s="565">
        <v>0</v>
      </c>
      <c r="H66" s="532"/>
    </row>
    <row r="67" spans="1:8" ht="15.75" customHeight="1">
      <c r="A67" s="528"/>
      <c r="B67" s="528"/>
      <c r="C67" s="564" t="s">
        <v>2446</v>
      </c>
      <c r="D67" s="565"/>
      <c r="E67" s="532"/>
      <c r="F67" s="564" t="s">
        <v>2351</v>
      </c>
      <c r="G67" s="566">
        <f>SUM(G65:G66)</f>
        <v>0</v>
      </c>
      <c r="H67" s="532"/>
    </row>
    <row r="68" spans="1:8" ht="15.75" customHeight="1">
      <c r="A68" s="528"/>
      <c r="B68" s="528"/>
      <c r="C68" s="564" t="s">
        <v>2412</v>
      </c>
      <c r="D68" s="566">
        <f>D65+D66-D67</f>
        <v>0</v>
      </c>
      <c r="E68" s="532"/>
      <c r="H68" s="532"/>
    </row>
    <row r="69" spans="1:8" ht="15.75" customHeight="1">
      <c r="A69" s="528"/>
      <c r="B69" s="528"/>
      <c r="C69" s="545"/>
      <c r="D69" s="545"/>
      <c r="E69" s="532"/>
      <c r="F69" s="545"/>
      <c r="G69" s="545"/>
      <c r="H69" s="532"/>
    </row>
    <row r="70" spans="1:8" ht="15.75" customHeight="1">
      <c r="A70" s="528"/>
      <c r="B70" s="528" t="s">
        <v>2402</v>
      </c>
      <c r="C70" s="506" t="s">
        <v>2447</v>
      </c>
      <c r="E70" s="532"/>
      <c r="F70" s="532"/>
      <c r="G70" s="532"/>
      <c r="H70" s="532"/>
    </row>
    <row r="71" spans="1:8" ht="15.75" customHeight="1">
      <c r="A71" s="528"/>
      <c r="B71" s="528"/>
      <c r="C71" s="517" t="s">
        <v>2448</v>
      </c>
      <c r="D71" s="518" t="s">
        <v>2451</v>
      </c>
      <c r="E71" s="601" t="s">
        <v>2452</v>
      </c>
      <c r="F71" s="554" t="s">
        <v>2453</v>
      </c>
      <c r="H71" s="570"/>
    </row>
    <row r="72" spans="1:8" ht="15.75" customHeight="1">
      <c r="A72" s="528"/>
      <c r="B72" s="528"/>
      <c r="C72" s="626" t="s">
        <v>2449</v>
      </c>
      <c r="D72" s="559"/>
      <c r="E72" s="559">
        <v>0</v>
      </c>
      <c r="F72" s="560">
        <v>0</v>
      </c>
      <c r="H72" s="532"/>
    </row>
    <row r="73" spans="1:8" ht="15.75" customHeight="1">
      <c r="A73" s="528"/>
      <c r="B73" s="528"/>
      <c r="C73" s="626" t="s">
        <v>2593</v>
      </c>
      <c r="D73" s="559"/>
      <c r="E73" s="559">
        <v>0</v>
      </c>
      <c r="F73" s="560">
        <v>0</v>
      </c>
      <c r="H73" s="532"/>
    </row>
    <row r="74" spans="1:8" ht="15.75" customHeight="1">
      <c r="A74" s="528"/>
      <c r="B74" s="528"/>
      <c r="C74" s="626"/>
      <c r="D74" s="559"/>
      <c r="E74" s="559"/>
      <c r="F74" s="560"/>
      <c r="H74" s="532"/>
    </row>
    <row r="75" spans="1:8" ht="15.75" customHeight="1">
      <c r="A75" s="528"/>
      <c r="B75" s="528"/>
      <c r="C75" s="626"/>
      <c r="D75" s="559"/>
      <c r="E75" s="559"/>
      <c r="F75" s="560"/>
      <c r="H75" s="532"/>
    </row>
    <row r="76" spans="1:8" ht="15.75" customHeight="1">
      <c r="A76" s="528"/>
      <c r="B76" s="528"/>
      <c r="C76" s="626"/>
      <c r="D76" s="559"/>
      <c r="E76" s="559"/>
      <c r="F76" s="560"/>
      <c r="H76" s="532"/>
    </row>
    <row r="77" spans="1:8" ht="15.75" customHeight="1">
      <c r="A77" s="528"/>
      <c r="B77" s="528"/>
      <c r="C77" s="520" t="s">
        <v>2433</v>
      </c>
      <c r="D77" s="521">
        <f>SUM(D72:D76)</f>
        <v>0</v>
      </c>
      <c r="E77" s="521">
        <f t="shared" ref="E77" si="2">SUM(E72:E76)</f>
        <v>0</v>
      </c>
      <c r="F77" s="522">
        <f t="shared" ref="F77" si="3">SUM(F72:F76)</f>
        <v>0</v>
      </c>
      <c r="H77" s="545"/>
    </row>
    <row r="78" spans="1:8" ht="15.75" customHeight="1">
      <c r="A78" s="528"/>
      <c r="B78" s="528"/>
      <c r="C78" s="530"/>
      <c r="D78" s="531"/>
      <c r="E78" s="532"/>
      <c r="F78" s="532"/>
      <c r="G78" s="532"/>
      <c r="H78" s="532"/>
    </row>
    <row r="79" spans="1:8" ht="15.75" customHeight="1">
      <c r="A79" s="528" t="s">
        <v>1076</v>
      </c>
      <c r="B79" s="506" t="s">
        <v>2464</v>
      </c>
      <c r="C79" s="530"/>
      <c r="D79" s="531"/>
      <c r="E79" s="532"/>
      <c r="F79" s="532"/>
      <c r="G79" s="532"/>
      <c r="H79" s="532"/>
    </row>
    <row r="80" spans="1:8" ht="15.75" customHeight="1">
      <c r="A80" s="528"/>
      <c r="B80" s="528" t="s">
        <v>2395</v>
      </c>
      <c r="C80" s="531" t="s">
        <v>2465</v>
      </c>
      <c r="D80" s="531"/>
      <c r="E80" s="532"/>
      <c r="F80" s="532"/>
      <c r="G80" s="532"/>
      <c r="H80" s="532"/>
    </row>
    <row r="81" spans="1:9" ht="15.75" customHeight="1">
      <c r="A81" s="528"/>
      <c r="B81" s="528"/>
      <c r="C81" s="599" t="s">
        <v>636</v>
      </c>
      <c r="D81" s="600" t="s">
        <v>2466</v>
      </c>
      <c r="E81" s="554" t="s">
        <v>2504</v>
      </c>
      <c r="F81" s="570"/>
      <c r="G81" s="532"/>
      <c r="H81" s="532"/>
    </row>
    <row r="82" spans="1:9" ht="15.75" customHeight="1">
      <c r="A82" s="528"/>
      <c r="B82" s="528"/>
      <c r="C82" s="564" t="s">
        <v>715</v>
      </c>
      <c r="D82" s="582"/>
      <c r="E82" s="560"/>
      <c r="F82" s="532"/>
      <c r="G82" s="532"/>
      <c r="H82" s="532"/>
      <c r="I82" s="545"/>
    </row>
    <row r="83" spans="1:9" ht="15.75" customHeight="1">
      <c r="A83" s="528"/>
      <c r="B83" s="528"/>
      <c r="C83" s="625"/>
      <c r="D83" s="535" t="s">
        <v>2467</v>
      </c>
      <c r="E83" s="559">
        <f>FS_worksheet!$L$130</f>
        <v>4992250970</v>
      </c>
      <c r="F83" s="532" t="b">
        <f>SUM(D82:E82)=E83</f>
        <v>0</v>
      </c>
      <c r="H83" s="532"/>
      <c r="I83" s="545"/>
    </row>
    <row r="84" spans="1:9" ht="15.75" customHeight="1">
      <c r="A84" s="528"/>
      <c r="B84" s="528"/>
      <c r="C84" s="530"/>
      <c r="D84" s="531"/>
      <c r="E84" s="532"/>
      <c r="F84" s="532"/>
      <c r="G84" s="532"/>
      <c r="H84" s="532"/>
      <c r="I84" s="545"/>
    </row>
    <row r="85" spans="1:9" ht="15.75" customHeight="1">
      <c r="A85" s="528"/>
      <c r="B85" s="528"/>
      <c r="C85" s="1347" t="s">
        <v>2468</v>
      </c>
      <c r="D85" s="621" t="s">
        <v>2469</v>
      </c>
      <c r="E85" s="621"/>
      <c r="F85" s="621" t="s">
        <v>2490</v>
      </c>
      <c r="G85" s="621"/>
      <c r="H85" s="622" t="s">
        <v>2470</v>
      </c>
      <c r="I85" s="1348"/>
    </row>
    <row r="86" spans="1:9" ht="15.75" customHeight="1">
      <c r="A86" s="528"/>
      <c r="B86" s="528"/>
      <c r="C86" s="1347"/>
      <c r="D86" s="623" t="s">
        <v>2471</v>
      </c>
      <c r="E86" s="623" t="s">
        <v>2472</v>
      </c>
      <c r="F86" s="623" t="s">
        <v>2471</v>
      </c>
      <c r="G86" s="623" t="s">
        <v>2472</v>
      </c>
      <c r="H86" s="622" t="s">
        <v>2473</v>
      </c>
      <c r="I86" s="1348"/>
    </row>
    <row r="87" spans="1:9" ht="15.75" customHeight="1">
      <c r="A87" s="528"/>
      <c r="B87" s="528"/>
      <c r="C87" s="585" t="s">
        <v>2358</v>
      </c>
      <c r="D87" s="589"/>
      <c r="E87" s="589"/>
      <c r="F87" s="589"/>
      <c r="G87" s="589"/>
      <c r="H87" s="624"/>
      <c r="I87" s="239"/>
    </row>
    <row r="88" spans="1:9" ht="15.75" customHeight="1">
      <c r="A88" s="528"/>
      <c r="B88" s="528"/>
      <c r="C88" s="588" t="s">
        <v>2359</v>
      </c>
      <c r="D88" s="589"/>
      <c r="E88" s="589"/>
      <c r="F88" s="589"/>
      <c r="G88" s="589"/>
      <c r="H88" s="624"/>
      <c r="I88" s="239"/>
    </row>
    <row r="89" spans="1:9" ht="15.75" customHeight="1">
      <c r="A89" s="528"/>
      <c r="B89" s="528"/>
      <c r="C89" s="530"/>
      <c r="D89" s="531"/>
      <c r="E89" s="532"/>
      <c r="G89" s="532" t="s">
        <v>2477</v>
      </c>
      <c r="H89" s="581"/>
      <c r="I89" s="545"/>
    </row>
    <row r="90" spans="1:9" ht="15.75" customHeight="1">
      <c r="A90" s="528"/>
      <c r="B90" s="528"/>
      <c r="C90" s="530"/>
      <c r="D90" s="531"/>
      <c r="E90" s="532"/>
      <c r="G90" s="532"/>
      <c r="H90" s="532" t="b">
        <f>SUM(D87:H88)=H89</f>
        <v>1</v>
      </c>
      <c r="I90" s="545"/>
    </row>
    <row r="91" spans="1:9" ht="15.75" customHeight="1">
      <c r="A91" s="528"/>
      <c r="B91" s="528"/>
      <c r="C91" s="564" t="s">
        <v>2567</v>
      </c>
      <c r="D91" s="565">
        <v>0</v>
      </c>
      <c r="F91" s="532"/>
      <c r="G91" s="532"/>
      <c r="H91" s="532"/>
      <c r="I91" s="545"/>
    </row>
    <row r="92" spans="1:9" ht="15.75" customHeight="1">
      <c r="A92" s="528"/>
      <c r="B92" s="528"/>
      <c r="C92" s="530"/>
      <c r="D92" s="531"/>
      <c r="E92" s="532"/>
      <c r="F92" s="532"/>
      <c r="G92" s="532"/>
      <c r="H92" s="532"/>
      <c r="I92" s="545"/>
    </row>
    <row r="93" spans="1:9" ht="15.75" customHeight="1">
      <c r="A93" s="528"/>
      <c r="B93" s="528" t="s">
        <v>2568</v>
      </c>
      <c r="C93" s="598" t="s">
        <v>2569</v>
      </c>
      <c r="D93" s="531"/>
      <c r="E93" s="532"/>
      <c r="F93" s="532"/>
      <c r="G93" s="532"/>
      <c r="H93" s="532"/>
    </row>
    <row r="94" spans="1:9" ht="15.75" customHeight="1">
      <c r="A94" s="528"/>
      <c r="B94" s="528"/>
      <c r="C94" s="599" t="s">
        <v>2571</v>
      </c>
      <c r="D94" s="563" t="s">
        <v>2572</v>
      </c>
      <c r="E94" s="532"/>
      <c r="F94" s="532"/>
      <c r="G94" s="532"/>
      <c r="H94" s="532"/>
    </row>
    <row r="95" spans="1:9" ht="15.75" customHeight="1">
      <c r="A95" s="528"/>
      <c r="B95" s="528"/>
      <c r="C95" s="564" t="s">
        <v>2492</v>
      </c>
      <c r="D95" s="566">
        <v>1</v>
      </c>
      <c r="E95" s="532"/>
      <c r="F95" s="532"/>
      <c r="G95" s="532"/>
      <c r="H95" s="532"/>
    </row>
    <row r="96" spans="1:9" ht="15.75" customHeight="1">
      <c r="A96" s="528"/>
      <c r="B96" s="528"/>
      <c r="C96" s="564" t="s">
        <v>2495</v>
      </c>
      <c r="D96" s="565">
        <v>12</v>
      </c>
      <c r="E96" s="532"/>
      <c r="F96" s="532"/>
      <c r="G96" s="532"/>
      <c r="H96" s="532"/>
    </row>
    <row r="97" spans="1:8" ht="15.75" customHeight="1">
      <c r="A97" s="528"/>
      <c r="B97" s="528"/>
      <c r="C97" s="564" t="s">
        <v>2570</v>
      </c>
      <c r="D97" s="565"/>
      <c r="E97" s="532"/>
      <c r="F97" s="532"/>
      <c r="G97" s="532"/>
      <c r="H97" s="532"/>
    </row>
    <row r="98" spans="1:8" ht="15.75" customHeight="1">
      <c r="A98" s="528"/>
      <c r="B98" s="528"/>
      <c r="C98" s="598"/>
      <c r="D98" s="598"/>
      <c r="E98" s="532"/>
      <c r="F98" s="532"/>
      <c r="G98" s="532"/>
      <c r="H98" s="532"/>
    </row>
    <row r="99" spans="1:8" ht="15.75" customHeight="1">
      <c r="A99" s="528"/>
      <c r="B99" s="528"/>
      <c r="C99" s="598"/>
      <c r="D99" s="598"/>
      <c r="E99" s="532"/>
      <c r="F99" s="532"/>
      <c r="G99" s="532"/>
      <c r="H99" s="532"/>
    </row>
    <row r="100" spans="1:8" ht="15.75" customHeight="1">
      <c r="A100" s="528" t="s">
        <v>1360</v>
      </c>
      <c r="B100" s="506" t="s">
        <v>2536</v>
      </c>
      <c r="C100" s="530"/>
      <c r="D100" s="598"/>
      <c r="E100" s="532"/>
      <c r="F100" s="532"/>
      <c r="G100" s="532"/>
      <c r="H100" s="532"/>
    </row>
    <row r="101" spans="1:8" ht="15.75" customHeight="1">
      <c r="A101" s="528"/>
      <c r="B101" s="528" t="s">
        <v>2594</v>
      </c>
      <c r="C101" s="598" t="s">
        <v>2595</v>
      </c>
      <c r="D101" s="598"/>
      <c r="E101" s="532"/>
      <c r="F101" s="532"/>
      <c r="G101" s="532"/>
      <c r="H101" s="532"/>
    </row>
    <row r="102" spans="1:8" ht="15.75" customHeight="1">
      <c r="A102" s="528"/>
      <c r="B102" s="528"/>
      <c r="C102" s="599" t="s">
        <v>2349</v>
      </c>
      <c r="D102" s="563" t="s">
        <v>2345</v>
      </c>
      <c r="E102" s="570"/>
      <c r="F102" s="570"/>
      <c r="G102" s="532"/>
      <c r="H102" s="532"/>
    </row>
    <row r="103" spans="1:8" ht="15.75" customHeight="1">
      <c r="A103" s="528"/>
      <c r="B103" s="528"/>
      <c r="C103" s="564" t="s">
        <v>2611</v>
      </c>
      <c r="D103" s="565"/>
      <c r="E103" s="532"/>
      <c r="F103" s="645"/>
      <c r="G103" s="532"/>
      <c r="H103" s="532"/>
    </row>
    <row r="104" spans="1:8" ht="15.75" customHeight="1">
      <c r="A104" s="528"/>
      <c r="B104" s="528"/>
      <c r="C104" s="564" t="s">
        <v>2637</v>
      </c>
      <c r="D104" s="565"/>
      <c r="E104" s="532"/>
      <c r="F104" s="645"/>
      <c r="G104" s="532"/>
      <c r="H104" s="532"/>
    </row>
    <row r="105" spans="1:8" ht="15.75" customHeight="1">
      <c r="A105" s="528"/>
      <c r="B105" s="528"/>
      <c r="C105" s="564" t="s">
        <v>2639</v>
      </c>
      <c r="D105" s="565"/>
      <c r="E105" s="532"/>
      <c r="F105" s="645"/>
      <c r="G105" s="532"/>
      <c r="H105" s="532"/>
    </row>
    <row r="106" spans="1:8" ht="15.75" customHeight="1">
      <c r="A106" s="528"/>
      <c r="B106" s="528"/>
      <c r="C106" s="564" t="s">
        <v>2641</v>
      </c>
      <c r="D106" s="565"/>
      <c r="E106" s="532"/>
      <c r="F106" s="645"/>
      <c r="G106" s="532"/>
      <c r="H106" s="532"/>
    </row>
    <row r="107" spans="1:8" ht="15.75" customHeight="1">
      <c r="A107" s="528"/>
      <c r="B107" s="528"/>
      <c r="C107" s="564" t="s">
        <v>2643</v>
      </c>
      <c r="D107" s="565"/>
      <c r="E107" s="532"/>
      <c r="F107" s="645"/>
      <c r="G107" s="532"/>
      <c r="H107" s="532"/>
    </row>
    <row r="108" spans="1:8" ht="15.75" customHeight="1">
      <c r="A108" s="528"/>
      <c r="B108" s="528"/>
      <c r="C108" s="564" t="s">
        <v>2351</v>
      </c>
      <c r="D108" s="566">
        <f>SUM(D103:D107)</f>
        <v>0</v>
      </c>
      <c r="E108" s="532"/>
      <c r="F108" s="532"/>
      <c r="G108" s="532"/>
      <c r="H108" s="532"/>
    </row>
    <row r="109" spans="1:8" ht="15.75" customHeight="1">
      <c r="A109" s="528"/>
      <c r="B109" s="528"/>
      <c r="C109" s="530"/>
      <c r="D109" s="598"/>
      <c r="E109" s="532"/>
      <c r="F109" s="532"/>
      <c r="G109" s="532"/>
      <c r="H109" s="532"/>
    </row>
    <row r="110" spans="1:8" ht="15.75" customHeight="1">
      <c r="A110" s="528"/>
      <c r="B110" s="528" t="s">
        <v>2617</v>
      </c>
      <c r="C110" s="598" t="s">
        <v>2618</v>
      </c>
      <c r="D110" s="598"/>
      <c r="E110" s="532"/>
      <c r="F110" s="532"/>
      <c r="G110" s="532"/>
      <c r="H110" s="532"/>
    </row>
    <row r="111" spans="1:8" ht="15.75" customHeight="1">
      <c r="A111" s="528"/>
      <c r="B111" s="528"/>
      <c r="C111" s="599" t="s">
        <v>2349</v>
      </c>
      <c r="D111" s="600" t="s">
        <v>2619</v>
      </c>
      <c r="E111" s="554" t="s">
        <v>2620</v>
      </c>
      <c r="F111" s="570"/>
      <c r="G111" s="570"/>
      <c r="H111" s="570"/>
    </row>
    <row r="112" spans="1:8" ht="15.75" customHeight="1">
      <c r="A112" s="528"/>
      <c r="B112" s="528"/>
      <c r="C112" s="564" t="s">
        <v>2610</v>
      </c>
      <c r="D112" s="582"/>
      <c r="E112" s="565"/>
      <c r="F112" s="598"/>
      <c r="G112" s="598"/>
      <c r="H112" s="598"/>
    </row>
    <row r="113" spans="1:9" ht="15.75" customHeight="1">
      <c r="A113" s="528"/>
      <c r="B113" s="528"/>
      <c r="C113" s="564" t="s">
        <v>2616</v>
      </c>
      <c r="D113" s="582"/>
      <c r="E113" s="565"/>
      <c r="F113" s="598"/>
      <c r="G113" s="598"/>
      <c r="H113" s="598"/>
    </row>
    <row r="114" spans="1:9" ht="15.75" customHeight="1">
      <c r="A114" s="528"/>
      <c r="B114" s="528"/>
      <c r="C114" s="564" t="s">
        <v>2596</v>
      </c>
      <c r="D114" s="582"/>
      <c r="E114" s="565"/>
      <c r="F114" s="598"/>
      <c r="G114" s="598"/>
      <c r="H114" s="598"/>
    </row>
    <row r="115" spans="1:9" ht="15.75" customHeight="1">
      <c r="A115" s="528"/>
      <c r="B115" s="528"/>
      <c r="C115" s="564" t="s">
        <v>2351</v>
      </c>
      <c r="D115" s="580">
        <f>SUM(D112:D114)</f>
        <v>0</v>
      </c>
      <c r="E115" s="566">
        <f t="shared" ref="E115" si="4">SUM(E112:E114)</f>
        <v>0</v>
      </c>
      <c r="F115" s="598"/>
      <c r="G115" s="598"/>
      <c r="H115" s="598"/>
    </row>
    <row r="116" spans="1:9" ht="15.75" customHeight="1">
      <c r="A116" s="528"/>
      <c r="B116" s="528"/>
      <c r="C116" s="530"/>
      <c r="D116" s="598"/>
      <c r="E116" s="532"/>
      <c r="F116" s="532"/>
      <c r="G116" s="532"/>
      <c r="H116" s="532"/>
    </row>
    <row r="117" spans="1:9" ht="15.75" customHeight="1">
      <c r="A117" s="528"/>
      <c r="B117" s="528"/>
      <c r="C117" s="593"/>
      <c r="D117" s="593"/>
      <c r="E117" s="593"/>
      <c r="F117" s="532"/>
      <c r="G117" s="532"/>
      <c r="H117" s="532"/>
    </row>
    <row r="118" spans="1:9" ht="15.75" customHeight="1">
      <c r="A118" s="505" t="s">
        <v>2575</v>
      </c>
      <c r="B118" s="505"/>
      <c r="H118" s="532"/>
      <c r="I118" s="620"/>
    </row>
    <row r="119" spans="1:9" ht="15.75" customHeight="1">
      <c r="A119" s="545"/>
      <c r="B119" s="545"/>
      <c r="C119" s="627" t="s">
        <v>2576</v>
      </c>
      <c r="D119" s="601" t="s">
        <v>2577</v>
      </c>
      <c r="E119" s="601" t="s">
        <v>2578</v>
      </c>
      <c r="F119" s="601" t="s">
        <v>2579</v>
      </c>
      <c r="G119" s="595" t="s">
        <v>2580</v>
      </c>
      <c r="H119" s="532" t="s">
        <v>2581</v>
      </c>
      <c r="I119" s="620"/>
    </row>
    <row r="120" spans="1:9" ht="15.75" customHeight="1">
      <c r="A120" s="545"/>
      <c r="B120" s="545"/>
      <c r="C120" s="626" t="str">
        <f t="shared" ref="C120:C132" si="5">C11</f>
        <v>외화환산손실</v>
      </c>
      <c r="D120" s="636"/>
      <c r="E120" s="636"/>
      <c r="F120" s="636"/>
      <c r="G120" s="637">
        <f>D120-E120+F120</f>
        <v>0</v>
      </c>
      <c r="H120" s="532" t="b">
        <f t="shared" ref="H120:H128" si="6">IFERROR(IF(VLOOKUP(C120,$C$8:$G$28,2,FALSE)&lt;0,ABS(VLOOKUP(C120,$C$8:$G$28,2,FALSE)),VLOOKUP(C120,$C$8:$G$28,2,FALSE))=D120,"")</f>
        <v>1</v>
      </c>
      <c r="I120" s="620"/>
    </row>
    <row r="121" spans="1:9" ht="15.75" customHeight="1">
      <c r="A121" s="545"/>
      <c r="B121" s="545"/>
      <c r="C121" s="626" t="str">
        <f t="shared" si="5"/>
        <v>외화환산이익</v>
      </c>
      <c r="D121" s="610"/>
      <c r="E121" s="559"/>
      <c r="F121" s="638"/>
      <c r="G121" s="637">
        <f t="shared" ref="G121:G132" si="7">D121-E121+F121</f>
        <v>0</v>
      </c>
      <c r="H121" s="532" t="b">
        <f t="shared" si="6"/>
        <v>1</v>
      </c>
      <c r="I121" s="620"/>
    </row>
    <row r="122" spans="1:9" ht="15.75" customHeight="1">
      <c r="A122" s="545"/>
      <c r="B122" s="545"/>
      <c r="C122" s="626" t="str">
        <f t="shared" si="5"/>
        <v>지분법손실</v>
      </c>
      <c r="D122" s="610"/>
      <c r="E122" s="559"/>
      <c r="F122" s="638"/>
      <c r="G122" s="637">
        <f t="shared" si="7"/>
        <v>0</v>
      </c>
      <c r="H122" s="532" t="b">
        <f t="shared" si="6"/>
        <v>1</v>
      </c>
      <c r="I122" s="620"/>
    </row>
    <row r="123" spans="1:9" ht="15.75" customHeight="1">
      <c r="A123" s="545"/>
      <c r="B123" s="545"/>
      <c r="C123" s="626" t="str">
        <f t="shared" si="5"/>
        <v>지분법이익</v>
      </c>
      <c r="D123" s="610"/>
      <c r="E123" s="559"/>
      <c r="F123" s="638"/>
      <c r="G123" s="637">
        <f t="shared" si="7"/>
        <v>0</v>
      </c>
      <c r="H123" s="532" t="b">
        <f t="shared" si="6"/>
        <v>1</v>
      </c>
      <c r="I123" s="620"/>
    </row>
    <row r="124" spans="1:9" ht="15.75" customHeight="1">
      <c r="A124" s="545"/>
      <c r="B124" s="545"/>
      <c r="C124" s="626" t="str">
        <f t="shared" si="5"/>
        <v>지분법자본변동</v>
      </c>
      <c r="D124" s="610"/>
      <c r="E124" s="559"/>
      <c r="F124" s="638"/>
      <c r="G124" s="637">
        <f t="shared" ref="G124" si="8">D124-E124+F124</f>
        <v>0</v>
      </c>
      <c r="H124" s="532" t="b">
        <f t="shared" si="6"/>
        <v>1</v>
      </c>
      <c r="I124" s="620"/>
    </row>
    <row r="125" spans="1:9" ht="15.75" customHeight="1">
      <c r="A125" s="545"/>
      <c r="B125" s="545"/>
      <c r="C125" s="626" t="str">
        <f t="shared" si="5"/>
        <v>단기매매증권평가손실</v>
      </c>
      <c r="D125" s="610"/>
      <c r="E125" s="559"/>
      <c r="F125" s="638"/>
      <c r="G125" s="637">
        <f t="shared" si="7"/>
        <v>0</v>
      </c>
      <c r="H125" s="532" t="b">
        <f t="shared" si="6"/>
        <v>1</v>
      </c>
      <c r="I125" s="620"/>
    </row>
    <row r="126" spans="1:9" ht="15.75" customHeight="1">
      <c r="A126" s="545"/>
      <c r="B126" s="545"/>
      <c r="C126" s="626" t="str">
        <f t="shared" si="5"/>
        <v>단기매매증권평가이익</v>
      </c>
      <c r="D126" s="610"/>
      <c r="E126" s="559"/>
      <c r="F126" s="638"/>
      <c r="G126" s="637">
        <f t="shared" si="7"/>
        <v>0</v>
      </c>
      <c r="H126" s="532" t="b">
        <f t="shared" si="6"/>
        <v>1</v>
      </c>
      <c r="I126" s="620"/>
    </row>
    <row r="127" spans="1:9" ht="15.75" customHeight="1">
      <c r="A127" s="545"/>
      <c r="B127" s="545"/>
      <c r="C127" s="626" t="str">
        <f t="shared" si="5"/>
        <v>원재료평가손실</v>
      </c>
      <c r="D127" s="610"/>
      <c r="E127" s="559"/>
      <c r="F127" s="638"/>
      <c r="G127" s="637">
        <f t="shared" si="7"/>
        <v>0</v>
      </c>
      <c r="H127" s="532" t="b">
        <f t="shared" si="6"/>
        <v>1</v>
      </c>
      <c r="I127" s="620"/>
    </row>
    <row r="128" spans="1:9" ht="15.75" customHeight="1">
      <c r="A128" s="545"/>
      <c r="B128" s="545"/>
      <c r="C128" s="626" t="str">
        <f t="shared" si="5"/>
        <v>제품평가손실</v>
      </c>
      <c r="D128" s="610"/>
      <c r="E128" s="559"/>
      <c r="F128" s="638"/>
      <c r="G128" s="637">
        <f t="shared" ref="G128" si="9">D128-E128+F128</f>
        <v>0</v>
      </c>
      <c r="H128" s="532" t="b">
        <f t="shared" si="6"/>
        <v>1</v>
      </c>
      <c r="I128" s="620"/>
    </row>
    <row r="129" spans="1:9" ht="15.75" customHeight="1">
      <c r="A129" s="545"/>
      <c r="B129" s="545"/>
      <c r="C129" s="626" t="str">
        <f t="shared" si="5"/>
        <v>미수수익</v>
      </c>
      <c r="D129" s="610"/>
      <c r="E129" s="559"/>
      <c r="F129" s="638"/>
      <c r="G129" s="637">
        <f t="shared" si="7"/>
        <v>0</v>
      </c>
      <c r="H129" s="532" t="b">
        <f t="shared" ref="H129:H132" si="10">IFERROR(IF(VLOOKUP(C129,$C$8:$G$28,2,FALSE)&lt;0,ABS(VLOOKUP(C129,$C$8:$G$28,2,FALSE)),VLOOKUP(C129,$C$8:$G$28,2,FALSE))=D129,"")</f>
        <v>1</v>
      </c>
      <c r="I129" s="620"/>
    </row>
    <row r="130" spans="1:9" ht="15.75" customHeight="1">
      <c r="A130" s="545"/>
      <c r="B130" s="545"/>
      <c r="C130" s="626" t="str">
        <f t="shared" si="5"/>
        <v>마일리지충당금</v>
      </c>
      <c r="D130" s="610"/>
      <c r="E130" s="559"/>
      <c r="F130" s="638"/>
      <c r="G130" s="637">
        <f t="shared" si="7"/>
        <v>0</v>
      </c>
      <c r="H130" s="532" t="b">
        <f t="shared" si="10"/>
        <v>1</v>
      </c>
      <c r="I130" s="620"/>
    </row>
    <row r="131" spans="1:9" ht="15.75" customHeight="1">
      <c r="A131" s="545"/>
      <c r="B131" s="545"/>
      <c r="C131" s="626" t="str">
        <f t="shared" si="5"/>
        <v>판매보증충당금</v>
      </c>
      <c r="D131" s="610"/>
      <c r="E131" s="559"/>
      <c r="F131" s="638"/>
      <c r="G131" s="637">
        <f t="shared" si="7"/>
        <v>0</v>
      </c>
      <c r="H131" s="532" t="b">
        <f t="shared" si="10"/>
        <v>1</v>
      </c>
      <c r="I131" s="620"/>
    </row>
    <row r="132" spans="1:9" ht="15.75" customHeight="1">
      <c r="A132" s="545"/>
      <c r="B132" s="545"/>
      <c r="C132" s="626" t="str">
        <f t="shared" si="5"/>
        <v>하자보수충당금</v>
      </c>
      <c r="D132" s="610"/>
      <c r="E132" s="559"/>
      <c r="F132" s="638"/>
      <c r="G132" s="637">
        <f t="shared" si="7"/>
        <v>0</v>
      </c>
      <c r="H132" s="532" t="b">
        <f t="shared" si="10"/>
        <v>1</v>
      </c>
      <c r="I132" s="620"/>
    </row>
    <row r="133" spans="1:9" ht="15.75" customHeight="1">
      <c r="A133" s="545"/>
      <c r="B133" s="545"/>
      <c r="C133" s="631"/>
      <c r="D133" s="632"/>
      <c r="E133" s="570"/>
      <c r="F133" s="631"/>
      <c r="G133" s="632"/>
      <c r="H133" s="532"/>
      <c r="I133" s="620"/>
    </row>
    <row r="134" spans="1:9" ht="15.75" customHeight="1">
      <c r="A134" s="545"/>
      <c r="B134" s="545"/>
      <c r="C134" s="631"/>
      <c r="D134" s="632"/>
      <c r="E134" s="570"/>
      <c r="F134" s="631"/>
      <c r="G134" s="632"/>
      <c r="H134" s="532"/>
      <c r="I134" s="620"/>
    </row>
    <row r="135" spans="1:9" ht="15.75" customHeight="1">
      <c r="A135" s="545"/>
      <c r="B135" s="545"/>
      <c r="C135" s="633"/>
      <c r="D135" s="634"/>
      <c r="E135" s="571"/>
      <c r="F135" s="633"/>
      <c r="G135" s="634"/>
      <c r="H135" s="532"/>
      <c r="I135" s="620"/>
    </row>
    <row r="136" spans="1:9" ht="15.75" customHeight="1">
      <c r="A136" s="550"/>
      <c r="B136" s="550"/>
      <c r="C136" s="598"/>
      <c r="D136" s="598"/>
      <c r="E136" s="532"/>
      <c r="F136" s="532"/>
      <c r="G136" s="532"/>
      <c r="H136" s="532"/>
      <c r="I136" s="620"/>
    </row>
    <row r="137" spans="1:9" ht="15.75" customHeight="1">
      <c r="A137" s="550"/>
      <c r="B137" s="550"/>
      <c r="C137" s="619"/>
      <c r="D137" s="619"/>
      <c r="E137" s="618"/>
      <c r="F137" s="532"/>
      <c r="G137" s="532"/>
      <c r="H137" s="532"/>
      <c r="I137" s="620"/>
    </row>
    <row r="138" spans="1:9" ht="15.75" customHeight="1">
      <c r="A138" s="630"/>
      <c r="B138" s="630"/>
      <c r="C138" s="598"/>
      <c r="D138" s="598"/>
      <c r="E138" s="532"/>
      <c r="F138" s="532"/>
      <c r="G138" s="532"/>
      <c r="H138" s="532"/>
      <c r="I138" s="620"/>
    </row>
    <row r="139" spans="1:9" ht="15.75" customHeight="1">
      <c r="A139" s="630"/>
      <c r="B139" s="630"/>
      <c r="C139" s="619"/>
      <c r="D139" s="619"/>
      <c r="E139" s="618"/>
      <c r="F139" s="532"/>
      <c r="G139" s="532"/>
      <c r="H139" s="532"/>
      <c r="I139" s="620"/>
    </row>
    <row r="140" spans="1:9" ht="15.75" customHeight="1">
      <c r="A140" s="630"/>
      <c r="B140" s="630"/>
      <c r="C140" s="598"/>
      <c r="D140" s="598"/>
      <c r="E140" s="532"/>
      <c r="F140" s="532"/>
      <c r="G140" s="532"/>
      <c r="H140" s="532"/>
      <c r="I140" s="620"/>
    </row>
    <row r="141" spans="1:9" ht="15.75" customHeight="1">
      <c r="A141" s="630"/>
      <c r="B141" s="630"/>
      <c r="C141" s="530"/>
      <c r="D141" s="598"/>
      <c r="E141" s="532"/>
      <c r="F141" s="532"/>
      <c r="G141" s="532"/>
      <c r="H141" s="532"/>
      <c r="I141" s="620"/>
    </row>
    <row r="142" spans="1:9" ht="15.75" customHeight="1">
      <c r="A142" s="630"/>
      <c r="B142" s="630"/>
      <c r="C142" s="530"/>
      <c r="D142" s="598"/>
      <c r="E142" s="532"/>
      <c r="F142" s="532"/>
      <c r="G142" s="532"/>
      <c r="H142" s="532"/>
      <c r="I142" s="620"/>
    </row>
    <row r="143" spans="1:9" ht="15.75" customHeight="1">
      <c r="A143" s="630"/>
      <c r="B143" s="630"/>
      <c r="C143" s="530"/>
      <c r="D143" s="598"/>
      <c r="E143" s="532"/>
      <c r="F143" s="532"/>
      <c r="G143" s="532"/>
      <c r="H143" s="532"/>
      <c r="I143" s="620"/>
    </row>
    <row r="144" spans="1:9" ht="15.75" customHeight="1">
      <c r="A144" s="630"/>
      <c r="B144" s="630"/>
      <c r="C144" s="530"/>
      <c r="D144" s="598"/>
      <c r="E144" s="532"/>
      <c r="F144" s="532"/>
      <c r="G144" s="532"/>
      <c r="H144" s="532"/>
      <c r="I144" s="620"/>
    </row>
    <row r="145" spans="1:9" ht="15.75" customHeight="1">
      <c r="A145" s="630"/>
      <c r="B145" s="630"/>
      <c r="C145" s="530"/>
      <c r="D145" s="598"/>
      <c r="E145" s="532"/>
      <c r="F145" s="532"/>
      <c r="G145" s="532"/>
      <c r="H145" s="532"/>
      <c r="I145" s="620"/>
    </row>
    <row r="146" spans="1:9" ht="15.75" customHeight="1">
      <c r="A146" s="630"/>
      <c r="B146" s="630"/>
      <c r="C146" s="530"/>
      <c r="D146" s="598"/>
      <c r="E146" s="532"/>
      <c r="F146" s="532"/>
      <c r="G146" s="532"/>
      <c r="H146" s="532"/>
      <c r="I146" s="620"/>
    </row>
    <row r="147" spans="1:9" ht="15.75" customHeight="1">
      <c r="A147" s="630"/>
      <c r="B147" s="630"/>
      <c r="C147" s="530"/>
      <c r="D147" s="598"/>
      <c r="E147" s="532"/>
      <c r="F147" s="532"/>
      <c r="G147" s="532"/>
      <c r="H147" s="532"/>
      <c r="I147" s="620"/>
    </row>
    <row r="148" spans="1:9" ht="15.75" customHeight="1">
      <c r="A148" s="630"/>
      <c r="B148" s="630"/>
      <c r="C148" s="530"/>
      <c r="D148" s="598"/>
      <c r="E148" s="532"/>
      <c r="F148" s="532"/>
      <c r="G148" s="532"/>
      <c r="H148" s="532"/>
      <c r="I148" s="620"/>
    </row>
    <row r="149" spans="1:9" ht="15.75" customHeight="1">
      <c r="A149" s="630"/>
      <c r="B149" s="630"/>
      <c r="C149" s="530"/>
      <c r="D149" s="598"/>
      <c r="E149" s="532"/>
      <c r="F149" s="532"/>
      <c r="G149" s="532"/>
      <c r="H149" s="532"/>
      <c r="I149" s="620"/>
    </row>
    <row r="150" spans="1:9" ht="15.75" customHeight="1">
      <c r="A150" s="630"/>
      <c r="B150" s="630"/>
      <c r="C150" s="530"/>
      <c r="D150" s="598"/>
      <c r="E150" s="532"/>
      <c r="F150" s="532"/>
      <c r="G150" s="532"/>
      <c r="H150" s="532"/>
      <c r="I150" s="620"/>
    </row>
    <row r="151" spans="1:9" ht="15.75" customHeight="1">
      <c r="A151" s="630"/>
      <c r="B151" s="630"/>
      <c r="C151" s="530"/>
      <c r="D151" s="598"/>
      <c r="E151" s="532"/>
      <c r="F151" s="532"/>
      <c r="G151" s="532"/>
      <c r="H151" s="532"/>
      <c r="I151" s="620"/>
    </row>
    <row r="152" spans="1:9" ht="15.75" customHeight="1">
      <c r="A152" s="630"/>
      <c r="B152" s="630"/>
      <c r="C152" s="530"/>
      <c r="D152" s="598"/>
      <c r="E152" s="532"/>
      <c r="F152" s="532"/>
      <c r="G152" s="532"/>
      <c r="H152" s="532"/>
      <c r="I152" s="620"/>
    </row>
    <row r="153" spans="1:9" ht="15.75" customHeight="1">
      <c r="A153" s="630"/>
      <c r="B153" s="630"/>
      <c r="C153" s="530"/>
      <c r="D153" s="598"/>
      <c r="E153" s="532"/>
      <c r="F153" s="532"/>
      <c r="G153" s="532"/>
      <c r="H153" s="532"/>
      <c r="I153" s="620"/>
    </row>
    <row r="154" spans="1:9" ht="15.75" customHeight="1">
      <c r="A154" s="630"/>
      <c r="B154" s="630"/>
      <c r="C154" s="530"/>
      <c r="D154" s="598"/>
      <c r="E154" s="532"/>
      <c r="F154" s="532"/>
      <c r="G154" s="532"/>
      <c r="H154" s="532"/>
      <c r="I154" s="620"/>
    </row>
    <row r="155" spans="1:9" ht="15.75" customHeight="1">
      <c r="A155" s="630"/>
      <c r="B155" s="630"/>
      <c r="C155" s="530"/>
      <c r="D155" s="598"/>
      <c r="E155" s="532"/>
      <c r="F155" s="532"/>
      <c r="G155" s="532"/>
      <c r="H155" s="532"/>
      <c r="I155" s="620"/>
    </row>
    <row r="156" spans="1:9" ht="15.75" customHeight="1">
      <c r="A156" s="630"/>
      <c r="B156" s="630"/>
      <c r="C156" s="530"/>
      <c r="D156" s="598"/>
      <c r="E156" s="532"/>
      <c r="F156" s="532"/>
      <c r="G156" s="532"/>
      <c r="H156" s="532"/>
      <c r="I156" s="620"/>
    </row>
    <row r="157" spans="1:9" ht="15.75" customHeight="1">
      <c r="A157" s="630"/>
      <c r="B157" s="630"/>
      <c r="C157" s="530"/>
      <c r="D157" s="598"/>
      <c r="E157" s="532"/>
      <c r="F157" s="532"/>
      <c r="G157" s="532"/>
      <c r="H157" s="532"/>
      <c r="I157" s="620"/>
    </row>
    <row r="158" spans="1:9" ht="15.75" customHeight="1">
      <c r="A158" s="630"/>
      <c r="B158" s="630"/>
      <c r="C158" s="530"/>
      <c r="D158" s="598"/>
      <c r="E158" s="532"/>
      <c r="F158" s="532"/>
      <c r="G158" s="532"/>
      <c r="H158" s="532"/>
      <c r="I158" s="620"/>
    </row>
    <row r="159" spans="1:9" ht="15.75" customHeight="1">
      <c r="A159" s="630"/>
      <c r="B159" s="630"/>
      <c r="C159" s="530"/>
      <c r="D159" s="598"/>
      <c r="E159" s="532"/>
      <c r="F159" s="532"/>
      <c r="G159" s="532"/>
      <c r="H159" s="532"/>
      <c r="I159" s="620"/>
    </row>
    <row r="160" spans="1:9" ht="15.75" customHeight="1">
      <c r="A160" s="550"/>
      <c r="B160" s="550"/>
      <c r="C160" s="530"/>
      <c r="D160" s="598"/>
      <c r="E160" s="532"/>
      <c r="F160" s="532"/>
      <c r="G160" s="532"/>
      <c r="H160" s="532"/>
      <c r="I160" s="620"/>
    </row>
    <row r="161" spans="1:9" ht="15.75" customHeight="1">
      <c r="A161" s="550"/>
      <c r="B161" s="550"/>
      <c r="C161" s="530"/>
      <c r="D161" s="598"/>
      <c r="E161" s="532"/>
      <c r="F161" s="532"/>
      <c r="G161" s="532"/>
      <c r="H161" s="532"/>
      <c r="I161" s="620"/>
    </row>
    <row r="162" spans="1:9" ht="15.75" customHeight="1">
      <c r="A162" s="550"/>
      <c r="B162" s="550"/>
      <c r="C162" s="530"/>
      <c r="D162" s="598"/>
      <c r="E162" s="532"/>
      <c r="F162" s="532"/>
      <c r="G162" s="532"/>
      <c r="H162" s="532"/>
      <c r="I162" s="620"/>
    </row>
    <row r="163" spans="1:9" ht="15.75" customHeight="1">
      <c r="A163" s="550"/>
      <c r="B163" s="550"/>
      <c r="C163" s="530"/>
      <c r="D163" s="598"/>
      <c r="E163" s="532"/>
      <c r="F163" s="532"/>
      <c r="G163" s="532"/>
      <c r="H163" s="532"/>
      <c r="I163" s="620"/>
    </row>
    <row r="164" spans="1:9" ht="15.75" customHeight="1">
      <c r="A164" s="550"/>
      <c r="B164" s="550"/>
      <c r="C164" s="530"/>
      <c r="D164" s="598"/>
      <c r="E164" s="532"/>
      <c r="F164" s="532"/>
      <c r="G164" s="532"/>
      <c r="H164" s="532"/>
      <c r="I164" s="620"/>
    </row>
    <row r="165" spans="1:9" ht="15.75" customHeight="1">
      <c r="A165" s="550"/>
      <c r="B165" s="550"/>
      <c r="C165" s="530"/>
      <c r="D165" s="598"/>
      <c r="E165" s="532"/>
      <c r="F165" s="532"/>
      <c r="G165" s="532"/>
      <c r="H165" s="532"/>
      <c r="I165" s="620"/>
    </row>
    <row r="166" spans="1:9" ht="15.75" customHeight="1">
      <c r="A166" s="550"/>
      <c r="B166" s="550"/>
      <c r="C166" s="530"/>
      <c r="D166" s="598"/>
      <c r="E166" s="532"/>
      <c r="F166" s="532"/>
      <c r="G166" s="532"/>
      <c r="H166" s="532"/>
      <c r="I166" s="620"/>
    </row>
    <row r="167" spans="1:9" ht="15.75" customHeight="1">
      <c r="A167" s="550"/>
      <c r="B167" s="550"/>
      <c r="C167" s="530"/>
      <c r="D167" s="598"/>
      <c r="E167" s="532"/>
      <c r="F167" s="532"/>
      <c r="G167" s="532"/>
      <c r="H167" s="532"/>
      <c r="I167" s="620"/>
    </row>
    <row r="168" spans="1:9" ht="15.75" customHeight="1">
      <c r="A168" s="550"/>
      <c r="B168" s="550"/>
      <c r="C168" s="530"/>
      <c r="D168" s="598"/>
      <c r="E168" s="532"/>
      <c r="F168" s="532"/>
      <c r="G168" s="532"/>
      <c r="H168" s="532"/>
      <c r="I168" s="620"/>
    </row>
    <row r="169" spans="1:9" ht="15.75" customHeight="1">
      <c r="A169" s="550"/>
      <c r="B169" s="550"/>
      <c r="C169" s="530"/>
      <c r="D169" s="598"/>
      <c r="E169" s="532"/>
      <c r="F169" s="532"/>
      <c r="G169" s="532"/>
      <c r="H169" s="532"/>
      <c r="I169" s="620"/>
    </row>
    <row r="170" spans="1:9" ht="15.75" customHeight="1">
      <c r="A170" s="550"/>
      <c r="B170" s="550"/>
      <c r="C170" s="530"/>
      <c r="D170" s="598"/>
      <c r="E170" s="532"/>
      <c r="F170" s="532"/>
      <c r="G170" s="532"/>
      <c r="H170" s="532"/>
      <c r="I170" s="620"/>
    </row>
    <row r="171" spans="1:9" ht="15.75" customHeight="1">
      <c r="A171" s="550"/>
      <c r="B171" s="550"/>
      <c r="C171" s="598"/>
      <c r="D171" s="598"/>
      <c r="E171" s="532"/>
      <c r="F171" s="532"/>
      <c r="G171" s="532"/>
      <c r="H171" s="532"/>
      <c r="I171" s="620"/>
    </row>
    <row r="172" spans="1:9" ht="15.75" customHeight="1">
      <c r="A172" s="550"/>
      <c r="B172" s="550"/>
      <c r="C172" s="598"/>
      <c r="D172" s="598"/>
      <c r="E172" s="532"/>
      <c r="F172" s="532"/>
      <c r="G172" s="532"/>
      <c r="H172" s="532"/>
      <c r="I172" s="620"/>
    </row>
    <row r="173" spans="1:9" ht="15.75" customHeight="1">
      <c r="A173" s="550"/>
      <c r="B173" s="550"/>
      <c r="C173" s="598"/>
      <c r="D173" s="598"/>
      <c r="E173" s="532"/>
      <c r="F173" s="532"/>
      <c r="G173" s="532"/>
      <c r="H173" s="532"/>
      <c r="I173" s="620"/>
    </row>
    <row r="174" spans="1:9" ht="15.75" customHeight="1">
      <c r="A174" s="550"/>
      <c r="B174" s="550"/>
      <c r="C174" s="598"/>
      <c r="D174" s="598"/>
      <c r="E174" s="532"/>
      <c r="F174" s="532"/>
      <c r="G174" s="532"/>
      <c r="H174" s="532"/>
      <c r="I174" s="620"/>
    </row>
    <row r="175" spans="1:9" ht="15.75" customHeight="1">
      <c r="A175" s="550"/>
      <c r="B175" s="550"/>
      <c r="C175" s="598"/>
      <c r="D175" s="598"/>
      <c r="E175" s="532"/>
      <c r="F175" s="532"/>
      <c r="G175" s="532"/>
      <c r="H175" s="532"/>
      <c r="I175" s="620"/>
    </row>
    <row r="176" spans="1:9" ht="15.75" customHeight="1">
      <c r="A176" s="550"/>
      <c r="B176" s="550"/>
      <c r="C176" s="598"/>
      <c r="D176" s="598"/>
      <c r="E176" s="532"/>
      <c r="F176" s="532"/>
      <c r="G176" s="532"/>
      <c r="H176" s="532"/>
      <c r="I176" s="620"/>
    </row>
    <row r="177" spans="1:9" ht="15.75" customHeight="1">
      <c r="A177" s="550"/>
      <c r="B177" s="550"/>
      <c r="C177" s="530"/>
      <c r="D177" s="598"/>
      <c r="E177" s="532"/>
      <c r="F177" s="532"/>
      <c r="G177" s="532"/>
      <c r="H177" s="532"/>
      <c r="I177" s="620"/>
    </row>
    <row r="178" spans="1:9" ht="15.75" customHeight="1">
      <c r="A178" s="550"/>
      <c r="B178" s="550"/>
      <c r="C178" s="530"/>
      <c r="D178" s="598"/>
      <c r="E178" s="532"/>
      <c r="F178" s="532"/>
      <c r="G178" s="532"/>
      <c r="H178" s="532"/>
      <c r="I178" s="620"/>
    </row>
    <row r="179" spans="1:9" ht="15.75" customHeight="1">
      <c r="A179" s="550"/>
      <c r="B179" s="550"/>
      <c r="C179" s="598"/>
      <c r="D179" s="598"/>
      <c r="E179" s="532"/>
      <c r="F179" s="532"/>
      <c r="G179" s="532"/>
      <c r="H179" s="532"/>
      <c r="I179" s="620"/>
    </row>
    <row r="180" spans="1:9" ht="15.75" customHeight="1">
      <c r="A180" s="550"/>
      <c r="B180" s="550"/>
      <c r="C180" s="598"/>
      <c r="D180" s="598"/>
      <c r="E180" s="532"/>
      <c r="F180" s="532"/>
      <c r="G180" s="532"/>
      <c r="H180" s="532"/>
      <c r="I180" s="620"/>
    </row>
    <row r="181" spans="1:9" ht="15.75" customHeight="1">
      <c r="A181" s="550"/>
      <c r="B181" s="550"/>
      <c r="C181" s="598"/>
      <c r="D181" s="598"/>
      <c r="E181" s="532"/>
      <c r="F181" s="532"/>
      <c r="G181" s="532"/>
      <c r="H181" s="532"/>
      <c r="I181" s="620"/>
    </row>
    <row r="182" spans="1:9" ht="15.75" customHeight="1">
      <c r="A182" s="550"/>
      <c r="B182" s="550"/>
      <c r="C182" s="598"/>
      <c r="D182" s="598"/>
      <c r="E182" s="532"/>
      <c r="F182" s="532"/>
      <c r="G182" s="532"/>
      <c r="H182" s="532"/>
      <c r="I182" s="620"/>
    </row>
    <row r="183" spans="1:9" ht="15.75" customHeight="1">
      <c r="A183" s="550"/>
      <c r="B183" s="550"/>
      <c r="C183" s="598"/>
      <c r="D183" s="598"/>
      <c r="E183" s="532"/>
      <c r="F183" s="532"/>
      <c r="G183" s="532"/>
      <c r="H183" s="532"/>
      <c r="I183" s="620"/>
    </row>
    <row r="184" spans="1:9" ht="15.75" customHeight="1">
      <c r="A184" s="550"/>
      <c r="B184" s="550"/>
      <c r="C184" s="598"/>
      <c r="D184" s="598"/>
      <c r="E184" s="532"/>
      <c r="F184" s="532"/>
      <c r="G184" s="532"/>
      <c r="H184" s="532"/>
      <c r="I184" s="620"/>
    </row>
    <row r="185" spans="1:9" ht="15.75" customHeight="1">
      <c r="A185" s="550"/>
      <c r="B185" s="550"/>
      <c r="C185" s="598"/>
      <c r="D185" s="598"/>
      <c r="E185" s="532"/>
      <c r="F185" s="532"/>
      <c r="G185" s="532"/>
      <c r="H185" s="532"/>
      <c r="I185" s="620"/>
    </row>
    <row r="186" spans="1:9" ht="15.75" customHeight="1">
      <c r="A186" s="550"/>
      <c r="B186" s="550"/>
      <c r="C186" s="598"/>
      <c r="D186" s="598"/>
      <c r="E186" s="532"/>
      <c r="F186" s="532"/>
      <c r="G186" s="532"/>
      <c r="H186" s="532"/>
      <c r="I186" s="620"/>
    </row>
    <row r="187" spans="1:9" ht="15.75" customHeight="1">
      <c r="A187" s="550"/>
      <c r="B187" s="550"/>
      <c r="C187" s="598"/>
      <c r="D187" s="598"/>
      <c r="E187" s="532"/>
      <c r="F187" s="532"/>
      <c r="G187" s="532"/>
      <c r="H187" s="532"/>
      <c r="I187" s="620"/>
    </row>
    <row r="188" spans="1:9" ht="15.75" customHeight="1">
      <c r="A188" s="550"/>
      <c r="B188" s="550"/>
      <c r="C188" s="598"/>
      <c r="D188" s="598"/>
      <c r="E188" s="532"/>
      <c r="F188" s="532"/>
      <c r="G188" s="532"/>
      <c r="H188" s="532"/>
      <c r="I188" s="620"/>
    </row>
    <row r="189" spans="1:9" ht="15.75" customHeight="1">
      <c r="A189" s="550"/>
      <c r="B189" s="550"/>
      <c r="C189" s="598"/>
      <c r="D189" s="598"/>
      <c r="E189" s="532"/>
      <c r="F189" s="532"/>
      <c r="G189" s="532"/>
      <c r="H189" s="532"/>
      <c r="I189" s="620"/>
    </row>
    <row r="190" spans="1:9" ht="15.75" customHeight="1">
      <c r="A190" s="550"/>
      <c r="B190" s="550"/>
      <c r="C190" s="598"/>
      <c r="D190" s="598"/>
      <c r="E190" s="532"/>
      <c r="F190" s="532"/>
      <c r="G190" s="532"/>
      <c r="H190" s="532"/>
      <c r="I190" s="620"/>
    </row>
    <row r="191" spans="1:9" ht="15.75" customHeight="1">
      <c r="A191" s="550"/>
      <c r="B191" s="550"/>
      <c r="C191" s="536"/>
      <c r="D191" s="532"/>
      <c r="E191" s="532"/>
      <c r="F191" s="532"/>
      <c r="G191" s="532"/>
      <c r="H191" s="532"/>
      <c r="I191" s="620"/>
    </row>
    <row r="192" spans="1:9" ht="15.75" customHeight="1">
      <c r="A192" s="550"/>
      <c r="B192" s="550"/>
      <c r="C192" s="598"/>
      <c r="D192" s="598"/>
      <c r="E192" s="598"/>
      <c r="F192" s="598"/>
      <c r="G192" s="598"/>
      <c r="H192" s="532"/>
      <c r="I192" s="620"/>
    </row>
    <row r="193" spans="1:9" ht="15.75" customHeight="1">
      <c r="A193" s="530"/>
      <c r="B193" s="530"/>
      <c r="C193" s="598"/>
      <c r="D193" s="598"/>
      <c r="E193" s="598"/>
      <c r="F193" s="598"/>
      <c r="G193" s="598"/>
      <c r="H193" s="532"/>
      <c r="I193" s="620"/>
    </row>
    <row r="194" spans="1:9" ht="15.75" customHeight="1">
      <c r="A194" s="530"/>
      <c r="B194" s="530"/>
      <c r="C194" s="598"/>
      <c r="D194" s="598"/>
      <c r="E194" s="598"/>
      <c r="F194" s="598"/>
      <c r="G194" s="598"/>
      <c r="H194" s="532"/>
      <c r="I194" s="620"/>
    </row>
    <row r="195" spans="1:9" ht="15.75" customHeight="1">
      <c r="A195" s="530"/>
      <c r="B195" s="530"/>
      <c r="C195" s="530"/>
      <c r="D195" s="598"/>
      <c r="E195" s="598"/>
      <c r="F195" s="598"/>
      <c r="G195" s="598"/>
      <c r="H195" s="532"/>
      <c r="I195" s="620"/>
    </row>
    <row r="196" spans="1:9" ht="15.75" customHeight="1">
      <c r="A196" s="530"/>
      <c r="B196" s="530"/>
      <c r="C196" s="598"/>
      <c r="D196" s="598"/>
      <c r="E196" s="598"/>
      <c r="F196" s="598"/>
      <c r="G196" s="598"/>
      <c r="H196" s="532"/>
      <c r="I196" s="620"/>
    </row>
    <row r="197" spans="1:9" ht="15.75" customHeight="1">
      <c r="A197" s="530"/>
      <c r="B197" s="530"/>
      <c r="C197" s="598"/>
      <c r="D197" s="598"/>
      <c r="E197" s="598"/>
      <c r="F197" s="598"/>
      <c r="G197" s="598"/>
      <c r="H197" s="532"/>
      <c r="I197" s="620"/>
    </row>
    <row r="198" spans="1:9" ht="15.75" customHeight="1">
      <c r="A198" s="530"/>
      <c r="B198" s="530"/>
      <c r="C198" s="530"/>
      <c r="D198" s="598"/>
      <c r="E198" s="598"/>
      <c r="F198" s="598"/>
      <c r="G198" s="532"/>
      <c r="H198" s="532"/>
      <c r="I198" s="620"/>
    </row>
    <row r="199" spans="1:9" ht="15.75" customHeight="1">
      <c r="A199" s="530"/>
      <c r="B199" s="530"/>
      <c r="C199" s="530"/>
      <c r="D199" s="598"/>
      <c r="E199" s="598"/>
      <c r="F199" s="598"/>
      <c r="G199" s="598"/>
      <c r="H199" s="532"/>
      <c r="I199" s="620"/>
    </row>
    <row r="200" spans="1:9" ht="15.75" customHeight="1">
      <c r="A200" s="530"/>
      <c r="B200" s="530"/>
      <c r="C200" s="598"/>
      <c r="D200" s="598"/>
      <c r="E200" s="598"/>
      <c r="F200" s="598"/>
      <c r="G200" s="598"/>
      <c r="H200" s="532"/>
      <c r="I200" s="620"/>
    </row>
    <row r="201" spans="1:9" ht="15.75" customHeight="1">
      <c r="A201" s="530"/>
      <c r="B201" s="530"/>
      <c r="C201" s="598"/>
      <c r="D201" s="598"/>
      <c r="E201" s="598"/>
      <c r="F201" s="598"/>
      <c r="G201" s="598"/>
      <c r="H201" s="532"/>
      <c r="I201" s="620"/>
    </row>
    <row r="202" spans="1:9" ht="15.75" customHeight="1">
      <c r="A202" s="530"/>
      <c r="B202" s="530"/>
      <c r="C202" s="598"/>
      <c r="D202" s="598"/>
      <c r="E202" s="598"/>
      <c r="F202" s="598"/>
      <c r="G202" s="598"/>
      <c r="H202" s="532"/>
      <c r="I202" s="620"/>
    </row>
    <row r="203" spans="1:9" ht="15.75" customHeight="1">
      <c r="A203" s="530"/>
      <c r="B203" s="530"/>
      <c r="C203" s="598"/>
      <c r="D203" s="598"/>
      <c r="E203" s="598"/>
      <c r="F203" s="598"/>
      <c r="G203" s="598"/>
      <c r="H203" s="532"/>
      <c r="I203" s="620"/>
    </row>
    <row r="204" spans="1:9" ht="15.75" customHeight="1">
      <c r="A204" s="530"/>
      <c r="B204" s="530"/>
      <c r="C204" s="598"/>
      <c r="D204" s="598"/>
      <c r="E204" s="598"/>
      <c r="F204" s="598"/>
      <c r="G204" s="598"/>
      <c r="H204" s="532"/>
      <c r="I204" s="620"/>
    </row>
    <row r="205" spans="1:9" ht="15.75" customHeight="1">
      <c r="A205" s="530"/>
      <c r="B205" s="530"/>
      <c r="C205" s="598"/>
      <c r="D205" s="598"/>
      <c r="E205" s="598"/>
      <c r="F205" s="598"/>
      <c r="G205" s="598"/>
      <c r="H205" s="532"/>
      <c r="I205" s="620"/>
    </row>
    <row r="206" spans="1:9" ht="15.75" customHeight="1">
      <c r="A206" s="530"/>
      <c r="B206" s="530"/>
      <c r="C206" s="598"/>
      <c r="D206" s="598"/>
      <c r="E206" s="598"/>
      <c r="F206" s="598"/>
      <c r="G206" s="598"/>
      <c r="H206" s="532"/>
      <c r="I206" s="620"/>
    </row>
    <row r="207" spans="1:9" ht="15.75" customHeight="1">
      <c r="A207" s="530"/>
      <c r="B207" s="530"/>
      <c r="C207" s="530"/>
      <c r="D207" s="598"/>
      <c r="E207" s="598"/>
      <c r="F207" s="598"/>
      <c r="G207" s="598"/>
      <c r="H207" s="532"/>
    </row>
    <row r="208" spans="1:9" ht="15.75" customHeight="1">
      <c r="A208" s="530"/>
      <c r="B208" s="530"/>
      <c r="C208" s="530"/>
      <c r="D208" s="598"/>
      <c r="E208" s="598"/>
      <c r="F208" s="598"/>
      <c r="G208" s="598"/>
      <c r="H208" s="532"/>
    </row>
    <row r="209" spans="1:8" ht="15.75" customHeight="1">
      <c r="A209" s="530"/>
      <c r="B209" s="530"/>
      <c r="C209" s="530"/>
      <c r="D209" s="598"/>
      <c r="E209" s="598"/>
      <c r="F209" s="598"/>
      <c r="G209" s="598"/>
      <c r="H209" s="532"/>
    </row>
    <row r="210" spans="1:8" ht="15.75" customHeight="1">
      <c r="A210" s="530"/>
      <c r="B210" s="530"/>
      <c r="C210" s="530"/>
      <c r="D210" s="598"/>
      <c r="E210" s="598"/>
      <c r="F210" s="598"/>
      <c r="G210" s="598"/>
      <c r="H210" s="532"/>
    </row>
    <row r="211" spans="1:8" ht="15.75" customHeight="1">
      <c r="A211" s="530"/>
      <c r="B211" s="530"/>
      <c r="C211" s="598"/>
      <c r="D211" s="598"/>
      <c r="E211" s="598"/>
      <c r="F211" s="598"/>
      <c r="G211" s="598"/>
      <c r="H211" s="532"/>
    </row>
    <row r="212" spans="1:8" ht="15.75" customHeight="1">
      <c r="A212" s="530"/>
      <c r="B212" s="530"/>
      <c r="C212" s="530"/>
      <c r="D212" s="598"/>
      <c r="E212" s="598"/>
      <c r="F212" s="598"/>
      <c r="G212" s="598"/>
      <c r="H212" s="532"/>
    </row>
    <row r="213" spans="1:8" ht="15.75" customHeight="1">
      <c r="A213" s="537"/>
      <c r="B213" s="537"/>
      <c r="C213" s="530"/>
      <c r="D213" s="598"/>
      <c r="E213" s="598"/>
      <c r="F213" s="598"/>
      <c r="G213" s="598"/>
      <c r="H213" s="532"/>
    </row>
    <row r="214" spans="1:8" ht="15.75" customHeight="1">
      <c r="A214" s="537"/>
      <c r="B214" s="537"/>
      <c r="C214" s="530"/>
      <c r="D214" s="598"/>
      <c r="E214" s="598"/>
      <c r="F214" s="598"/>
      <c r="G214" s="598"/>
      <c r="H214" s="532"/>
    </row>
    <row r="215" spans="1:8" ht="15.75" customHeight="1">
      <c r="A215" s="537"/>
      <c r="B215" s="537"/>
      <c r="C215" s="530"/>
      <c r="D215" s="598"/>
      <c r="E215" s="598"/>
      <c r="F215" s="598"/>
      <c r="G215" s="598"/>
      <c r="H215" s="532"/>
    </row>
    <row r="216" spans="1:8" ht="15.75" customHeight="1">
      <c r="A216" s="537"/>
      <c r="B216" s="537"/>
      <c r="C216" s="530"/>
      <c r="D216" s="598"/>
      <c r="E216" s="598"/>
      <c r="F216" s="598"/>
      <c r="G216" s="598"/>
      <c r="H216" s="532"/>
    </row>
    <row r="217" spans="1:8" ht="15.75" customHeight="1">
      <c r="A217" s="537"/>
      <c r="B217" s="537"/>
      <c r="C217" s="598"/>
      <c r="D217" s="598"/>
      <c r="E217" s="598"/>
      <c r="F217" s="598"/>
      <c r="G217" s="598"/>
      <c r="H217" s="532"/>
    </row>
    <row r="218" spans="1:8" ht="15.75" customHeight="1">
      <c r="A218" s="537"/>
      <c r="B218" s="537"/>
      <c r="C218" s="598"/>
      <c r="D218" s="598"/>
      <c r="E218" s="598"/>
      <c r="F218" s="598"/>
      <c r="G218" s="598"/>
      <c r="H218" s="532"/>
    </row>
    <row r="219" spans="1:8" ht="15.75" customHeight="1">
      <c r="A219" s="537"/>
      <c r="B219" s="537"/>
      <c r="C219" s="598"/>
      <c r="D219" s="598"/>
      <c r="E219" s="598"/>
      <c r="F219" s="598"/>
      <c r="G219" s="598"/>
      <c r="H219" s="532"/>
    </row>
    <row r="220" spans="1:8" ht="15.75" customHeight="1">
      <c r="A220" s="537"/>
      <c r="B220" s="537"/>
      <c r="C220" s="598"/>
      <c r="D220" s="598"/>
      <c r="E220" s="598"/>
      <c r="F220" s="598"/>
      <c r="G220" s="598"/>
      <c r="H220" s="532"/>
    </row>
    <row r="221" spans="1:8" ht="15.75" customHeight="1">
      <c r="A221" s="537"/>
      <c r="B221" s="537"/>
      <c r="C221" s="530"/>
      <c r="D221" s="598"/>
      <c r="E221" s="598"/>
      <c r="F221" s="598"/>
      <c r="G221" s="598"/>
      <c r="H221" s="532"/>
    </row>
    <row r="222" spans="1:8" ht="15.75" customHeight="1">
      <c r="A222" s="537"/>
      <c r="B222" s="537"/>
      <c r="C222" s="530"/>
      <c r="D222" s="598"/>
      <c r="E222" s="598"/>
      <c r="F222" s="598"/>
      <c r="G222" s="598"/>
      <c r="H222" s="532"/>
    </row>
    <row r="223" spans="1:8" ht="15.75" customHeight="1">
      <c r="A223" s="537"/>
      <c r="B223" s="537"/>
      <c r="C223" s="598"/>
      <c r="D223" s="598"/>
      <c r="E223" s="598"/>
      <c r="F223" s="598"/>
      <c r="G223" s="598"/>
      <c r="H223" s="532"/>
    </row>
    <row r="224" spans="1:8" ht="15.75" customHeight="1">
      <c r="A224" s="538"/>
      <c r="B224" s="538"/>
      <c r="C224" s="598"/>
      <c r="D224" s="598"/>
      <c r="E224" s="598"/>
      <c r="F224" s="598"/>
      <c r="G224" s="598"/>
      <c r="H224" s="532"/>
    </row>
    <row r="225" spans="1:8" ht="15.75" customHeight="1">
      <c r="A225" s="538"/>
      <c r="B225" s="538"/>
      <c r="C225" s="598"/>
      <c r="D225" s="598"/>
      <c r="E225" s="598"/>
      <c r="F225" s="598"/>
      <c r="G225" s="598"/>
      <c r="H225" s="532"/>
    </row>
    <row r="226" spans="1:8" ht="15.75" customHeight="1">
      <c r="A226" s="538"/>
      <c r="B226" s="538"/>
      <c r="C226" s="598"/>
      <c r="D226" s="598"/>
      <c r="E226" s="598"/>
      <c r="F226" s="598"/>
      <c r="G226" s="598"/>
      <c r="H226" s="532"/>
    </row>
    <row r="227" spans="1:8" ht="15.75" customHeight="1">
      <c r="A227" s="538"/>
      <c r="B227" s="538"/>
      <c r="C227" s="598"/>
      <c r="D227" s="598"/>
      <c r="E227" s="598"/>
      <c r="F227" s="598"/>
      <c r="G227" s="598"/>
      <c r="H227" s="532"/>
    </row>
    <row r="228" spans="1:8" ht="15.75" customHeight="1">
      <c r="A228" s="538"/>
      <c r="B228" s="538"/>
      <c r="C228" s="598"/>
      <c r="D228" s="598"/>
      <c r="E228" s="598"/>
      <c r="F228" s="598"/>
      <c r="G228" s="598"/>
      <c r="H228" s="532"/>
    </row>
    <row r="229" spans="1:8" ht="15.75" customHeight="1">
      <c r="A229" s="538"/>
      <c r="B229" s="538"/>
      <c r="C229" s="530"/>
      <c r="D229" s="598"/>
      <c r="E229" s="598"/>
      <c r="F229" s="598"/>
      <c r="G229" s="598"/>
      <c r="H229" s="532"/>
    </row>
    <row r="230" spans="1:8" ht="15.75" customHeight="1">
      <c r="A230" s="538"/>
      <c r="B230" s="538"/>
      <c r="C230" s="530"/>
      <c r="D230" s="598"/>
      <c r="E230" s="598"/>
      <c r="F230" s="598"/>
      <c r="G230" s="598"/>
      <c r="H230" s="532"/>
    </row>
    <row r="231" spans="1:8" ht="15.75" customHeight="1">
      <c r="A231" s="538"/>
      <c r="B231" s="538"/>
      <c r="C231" s="598"/>
      <c r="D231" s="598"/>
      <c r="E231" s="598"/>
      <c r="F231" s="598"/>
      <c r="G231" s="598"/>
      <c r="H231" s="532"/>
    </row>
    <row r="232" spans="1:8" ht="15.75" customHeight="1">
      <c r="A232" s="539"/>
      <c r="B232" s="539"/>
      <c r="C232" s="532"/>
      <c r="D232" s="532"/>
      <c r="E232" s="532"/>
      <c r="F232" s="532"/>
      <c r="G232" s="532"/>
      <c r="H232" s="532"/>
    </row>
    <row r="233" spans="1:8" ht="15.75" customHeight="1">
      <c r="A233" s="539"/>
      <c r="B233" s="539"/>
      <c r="C233" s="532"/>
      <c r="D233" s="532"/>
      <c r="E233" s="532"/>
      <c r="F233" s="532"/>
      <c r="G233" s="532"/>
      <c r="H233" s="532"/>
    </row>
    <row r="234" spans="1:8" ht="15.75" customHeight="1">
      <c r="A234" s="539"/>
      <c r="B234" s="539"/>
      <c r="C234" s="598"/>
      <c r="D234" s="598"/>
      <c r="E234" s="532"/>
      <c r="F234" s="532"/>
      <c r="G234" s="532"/>
      <c r="H234" s="532"/>
    </row>
    <row r="235" spans="1:8" ht="15.75" customHeight="1">
      <c r="A235" s="539"/>
      <c r="B235" s="539"/>
      <c r="C235" s="532"/>
      <c r="D235" s="532"/>
      <c r="E235" s="532"/>
      <c r="F235" s="532"/>
      <c r="G235" s="532"/>
      <c r="H235" s="532"/>
    </row>
    <row r="236" spans="1:8" ht="15.75" customHeight="1">
      <c r="A236" s="540"/>
      <c r="B236" s="540"/>
      <c r="C236" s="541"/>
      <c r="D236" s="536"/>
      <c r="E236" s="536"/>
      <c r="F236" s="532"/>
      <c r="G236" s="532"/>
      <c r="H236" s="532"/>
    </row>
    <row r="237" spans="1:8" ht="15.75" customHeight="1">
      <c r="A237" s="529"/>
      <c r="B237" s="529"/>
      <c r="C237" s="536"/>
      <c r="D237" s="536"/>
      <c r="E237" s="536"/>
      <c r="F237" s="532"/>
      <c r="G237" s="532"/>
      <c r="H237" s="532"/>
    </row>
    <row r="238" spans="1:8" ht="15.75" customHeight="1">
      <c r="A238" s="539"/>
      <c r="B238" s="539"/>
      <c r="C238" s="532"/>
      <c r="D238" s="532"/>
      <c r="E238" s="532"/>
      <c r="F238" s="532"/>
      <c r="G238" s="532"/>
      <c r="H238" s="532"/>
    </row>
    <row r="239" spans="1:8" ht="15.75" customHeight="1">
      <c r="A239" s="539"/>
      <c r="B239" s="539"/>
      <c r="C239" s="532"/>
      <c r="D239" s="532"/>
      <c r="E239" s="532"/>
      <c r="F239" s="532"/>
      <c r="G239" s="532"/>
      <c r="H239" s="532"/>
    </row>
    <row r="240" spans="1:8" s="544" customFormat="1" ht="15.75" customHeight="1">
      <c r="A240" s="542"/>
      <c r="B240" s="542"/>
      <c r="C240" s="543"/>
      <c r="D240" s="543"/>
      <c r="E240" s="543"/>
      <c r="F240" s="536"/>
      <c r="G240" s="536"/>
      <c r="H240" s="536"/>
    </row>
    <row r="241" spans="1:8" s="544" customFormat="1" ht="15.75" customHeight="1">
      <c r="A241" s="529"/>
      <c r="B241" s="529"/>
      <c r="C241" s="536"/>
      <c r="D241" s="536"/>
      <c r="E241" s="536"/>
      <c r="F241" s="536"/>
      <c r="G241" s="536"/>
      <c r="H241" s="536"/>
    </row>
    <row r="242" spans="1:8" s="544" customFormat="1" ht="15.75" customHeight="1">
      <c r="A242" s="542"/>
      <c r="B242" s="542"/>
      <c r="C242" s="536"/>
      <c r="D242" s="536"/>
      <c r="E242" s="536"/>
      <c r="F242" s="536"/>
      <c r="G242" s="536"/>
      <c r="H242" s="536"/>
    </row>
    <row r="243" spans="1:8" s="544" customFormat="1" ht="15.75" customHeight="1">
      <c r="A243" s="540"/>
      <c r="B243" s="540"/>
      <c r="C243" s="536"/>
      <c r="D243" s="536"/>
      <c r="E243" s="536"/>
      <c r="F243" s="536"/>
      <c r="G243" s="536"/>
      <c r="H243" s="536"/>
    </row>
    <row r="244" spans="1:8" s="544" customFormat="1" ht="15.75" customHeight="1">
      <c r="A244" s="529"/>
      <c r="B244" s="529"/>
      <c r="C244" s="536"/>
      <c r="D244" s="536"/>
      <c r="E244" s="536"/>
      <c r="F244" s="536"/>
      <c r="G244" s="536"/>
      <c r="H244" s="536"/>
    </row>
    <row r="245" spans="1:8" s="544" customFormat="1" ht="15.75" customHeight="1">
      <c r="A245" s="529"/>
      <c r="B245" s="529"/>
      <c r="C245" s="536"/>
      <c r="D245" s="536"/>
      <c r="E245" s="536"/>
      <c r="F245" s="536"/>
      <c r="G245" s="536"/>
      <c r="H245" s="536"/>
    </row>
    <row r="246" spans="1:8" s="544" customFormat="1" ht="15.75" customHeight="1">
      <c r="A246" s="529"/>
      <c r="B246" s="529"/>
      <c r="C246" s="536"/>
      <c r="D246" s="536"/>
      <c r="E246" s="536"/>
      <c r="F246" s="536"/>
      <c r="G246" s="536"/>
      <c r="H246" s="536"/>
    </row>
    <row r="247" spans="1:8" ht="15.75" customHeight="1">
      <c r="A247" s="545"/>
      <c r="B247" s="545"/>
      <c r="C247" s="536"/>
      <c r="D247" s="532"/>
      <c r="E247" s="532"/>
      <c r="F247" s="532"/>
      <c r="G247" s="532"/>
      <c r="H247" s="532"/>
    </row>
    <row r="248" spans="1:8" ht="15.75" customHeight="1">
      <c r="A248" s="545"/>
      <c r="B248" s="545"/>
      <c r="C248" s="532"/>
      <c r="D248" s="532"/>
      <c r="E248" s="532"/>
      <c r="F248" s="532"/>
      <c r="G248" s="532"/>
      <c r="H248" s="532"/>
    </row>
    <row r="249" spans="1:8" ht="15.75" customHeight="1">
      <c r="A249" s="545"/>
      <c r="B249" s="545"/>
      <c r="C249" s="532"/>
      <c r="D249" s="532"/>
      <c r="E249" s="532"/>
      <c r="F249" s="532"/>
      <c r="G249" s="532"/>
      <c r="H249" s="532"/>
    </row>
    <row r="250" spans="1:8" ht="15.75" customHeight="1">
      <c r="A250" s="545"/>
      <c r="B250" s="545"/>
      <c r="C250" s="532"/>
      <c r="D250" s="532"/>
      <c r="E250" s="532"/>
      <c r="F250" s="532"/>
      <c r="G250" s="532"/>
      <c r="H250" s="532"/>
    </row>
    <row r="251" spans="1:8" ht="15.75" customHeight="1">
      <c r="A251" s="545"/>
      <c r="B251" s="545"/>
      <c r="C251" s="532"/>
      <c r="D251" s="532"/>
      <c r="E251" s="532"/>
      <c r="F251" s="532"/>
      <c r="G251" s="532"/>
      <c r="H251" s="532"/>
    </row>
    <row r="252" spans="1:8" ht="15.75" customHeight="1">
      <c r="A252" s="545"/>
      <c r="B252" s="545"/>
      <c r="C252" s="532"/>
      <c r="D252" s="532"/>
      <c r="E252" s="532"/>
      <c r="F252" s="532"/>
      <c r="G252" s="532"/>
      <c r="H252" s="532"/>
    </row>
    <row r="253" spans="1:8" ht="15.75" customHeight="1">
      <c r="A253" s="545"/>
      <c r="B253" s="545"/>
      <c r="C253" s="532"/>
      <c r="D253" s="532"/>
      <c r="E253" s="532"/>
      <c r="F253" s="532"/>
      <c r="G253" s="532"/>
      <c r="H253" s="532"/>
    </row>
    <row r="254" spans="1:8" ht="15.75" customHeight="1">
      <c r="A254" s="545"/>
      <c r="B254" s="545"/>
      <c r="C254" s="532"/>
      <c r="D254" s="532"/>
      <c r="E254" s="532"/>
      <c r="F254" s="532"/>
      <c r="G254" s="532"/>
      <c r="H254" s="532"/>
    </row>
    <row r="255" spans="1:8" ht="15.75" customHeight="1">
      <c r="C255" s="532"/>
      <c r="D255" s="532"/>
      <c r="E255" s="532"/>
      <c r="F255" s="532"/>
      <c r="G255" s="532"/>
      <c r="H255" s="532"/>
    </row>
    <row r="256" spans="1:8" ht="15.75" customHeight="1">
      <c r="C256" s="532"/>
      <c r="D256" s="532"/>
      <c r="E256" s="532"/>
      <c r="F256" s="532"/>
      <c r="G256" s="532"/>
      <c r="H256" s="532"/>
    </row>
    <row r="257" spans="3:8" ht="15.75" customHeight="1">
      <c r="C257" s="532"/>
      <c r="D257" s="532"/>
      <c r="E257" s="532"/>
      <c r="F257" s="532"/>
      <c r="G257" s="532"/>
      <c r="H257" s="532"/>
    </row>
    <row r="258" spans="3:8" ht="15.75" customHeight="1">
      <c r="C258" s="532"/>
      <c r="D258" s="532"/>
      <c r="E258" s="532"/>
      <c r="F258" s="532"/>
      <c r="G258" s="532"/>
      <c r="H258" s="532"/>
    </row>
    <row r="259" spans="3:8" ht="15.75" customHeight="1">
      <c r="C259" s="532"/>
      <c r="D259" s="532"/>
      <c r="E259" s="532"/>
      <c r="F259" s="532"/>
      <c r="G259" s="532"/>
      <c r="H259" s="532"/>
    </row>
    <row r="260" spans="3:8" ht="15.75" customHeight="1">
      <c r="C260" s="532"/>
      <c r="D260" s="532"/>
      <c r="E260" s="532"/>
      <c r="F260" s="532"/>
      <c r="G260" s="532"/>
      <c r="H260" s="532"/>
    </row>
    <row r="261" spans="3:8" ht="15.75" customHeight="1">
      <c r="C261" s="532"/>
      <c r="D261" s="532"/>
      <c r="E261" s="532"/>
      <c r="F261" s="532"/>
      <c r="G261" s="532"/>
      <c r="H261" s="532"/>
    </row>
    <row r="262" spans="3:8" ht="15.75" customHeight="1">
      <c r="C262" s="532"/>
      <c r="D262" s="532"/>
      <c r="E262" s="532"/>
      <c r="F262" s="532"/>
      <c r="G262" s="532"/>
      <c r="H262" s="532"/>
    </row>
    <row r="263" spans="3:8" ht="15.75" customHeight="1">
      <c r="C263" s="532"/>
      <c r="D263" s="532"/>
      <c r="E263" s="532"/>
      <c r="F263" s="532"/>
      <c r="G263" s="532"/>
      <c r="H263" s="532"/>
    </row>
    <row r="264" spans="3:8" ht="15.75" customHeight="1">
      <c r="C264" s="532"/>
      <c r="D264" s="532"/>
      <c r="E264" s="532"/>
      <c r="F264" s="532"/>
      <c r="G264" s="532"/>
      <c r="H264" s="532"/>
    </row>
    <row r="265" spans="3:8" ht="15.75" customHeight="1">
      <c r="C265" s="532"/>
      <c r="D265" s="532"/>
      <c r="E265" s="532"/>
      <c r="F265" s="532"/>
      <c r="G265" s="532"/>
      <c r="H265" s="532"/>
    </row>
    <row r="266" spans="3:8" ht="15.75" customHeight="1">
      <c r="C266" s="532"/>
      <c r="D266" s="532"/>
      <c r="E266" s="532"/>
      <c r="F266" s="532"/>
      <c r="G266" s="532"/>
      <c r="H266" s="532"/>
    </row>
    <row r="267" spans="3:8" ht="15.75" customHeight="1">
      <c r="C267" s="532"/>
      <c r="D267" s="532"/>
      <c r="E267" s="532"/>
      <c r="F267" s="532"/>
      <c r="G267" s="532"/>
      <c r="H267" s="532"/>
    </row>
    <row r="268" spans="3:8" ht="15.75" customHeight="1">
      <c r="C268" s="532"/>
      <c r="D268" s="532"/>
      <c r="E268" s="532"/>
      <c r="F268" s="532"/>
      <c r="G268" s="532"/>
      <c r="H268" s="532"/>
    </row>
    <row r="269" spans="3:8" ht="15.75" customHeight="1">
      <c r="C269" s="532"/>
      <c r="D269" s="532"/>
      <c r="E269" s="532"/>
      <c r="F269" s="532"/>
      <c r="G269" s="532"/>
      <c r="H269" s="532"/>
    </row>
    <row r="270" spans="3:8" ht="15.75" customHeight="1">
      <c r="C270" s="532"/>
      <c r="D270" s="532"/>
      <c r="E270" s="532"/>
      <c r="F270" s="532"/>
      <c r="G270" s="532"/>
      <c r="H270" s="532"/>
    </row>
    <row r="271" spans="3:8" ht="15.75" customHeight="1">
      <c r="C271" s="532"/>
      <c r="D271" s="532"/>
      <c r="E271" s="532"/>
      <c r="F271" s="532"/>
      <c r="G271" s="532"/>
      <c r="H271" s="532"/>
    </row>
    <row r="272" spans="3:8" ht="15.75" customHeight="1">
      <c r="C272" s="532"/>
      <c r="D272" s="532"/>
      <c r="E272" s="532"/>
      <c r="F272" s="532"/>
      <c r="G272" s="532"/>
      <c r="H272" s="532"/>
    </row>
    <row r="273" spans="3:8" ht="15.75" customHeight="1">
      <c r="C273" s="532"/>
      <c r="D273" s="532"/>
      <c r="E273" s="532"/>
      <c r="F273" s="532"/>
      <c r="G273" s="532"/>
      <c r="H273" s="532"/>
    </row>
    <row r="274" spans="3:8" ht="15.75" customHeight="1">
      <c r="C274" s="532"/>
      <c r="D274" s="532"/>
      <c r="E274" s="532"/>
      <c r="F274" s="532"/>
      <c r="G274" s="532"/>
      <c r="H274" s="532"/>
    </row>
    <row r="275" spans="3:8" ht="15.75" customHeight="1">
      <c r="C275" s="532"/>
      <c r="D275" s="532"/>
      <c r="E275" s="532"/>
      <c r="F275" s="532"/>
      <c r="G275" s="532"/>
      <c r="H275" s="532"/>
    </row>
    <row r="276" spans="3:8" ht="15.75" customHeight="1">
      <c r="C276" s="532"/>
      <c r="D276" s="532"/>
      <c r="E276" s="532"/>
      <c r="F276" s="532"/>
      <c r="G276" s="532"/>
      <c r="H276" s="532"/>
    </row>
    <row r="277" spans="3:8" ht="15.75" customHeight="1">
      <c r="C277" s="532"/>
      <c r="D277" s="532"/>
      <c r="E277" s="532"/>
      <c r="F277" s="532"/>
      <c r="G277" s="532"/>
      <c r="H277" s="532"/>
    </row>
    <row r="278" spans="3:8" ht="15.75" customHeight="1">
      <c r="C278" s="532"/>
      <c r="D278" s="532"/>
      <c r="E278" s="532"/>
      <c r="F278" s="532"/>
      <c r="G278" s="532"/>
      <c r="H278" s="532"/>
    </row>
    <row r="279" spans="3:8" ht="15.75" customHeight="1">
      <c r="C279" s="532"/>
      <c r="D279" s="532"/>
      <c r="E279" s="532"/>
      <c r="F279" s="532"/>
      <c r="G279" s="532"/>
      <c r="H279" s="532"/>
    </row>
    <row r="280" spans="3:8" ht="15.75" customHeight="1">
      <c r="C280" s="532"/>
      <c r="D280" s="532"/>
      <c r="E280" s="532"/>
      <c r="F280" s="532"/>
      <c r="G280" s="532"/>
      <c r="H280" s="532"/>
    </row>
    <row r="281" spans="3:8" ht="15.75" customHeight="1">
      <c r="C281" s="532"/>
      <c r="D281" s="532"/>
      <c r="E281" s="532"/>
      <c r="F281" s="532"/>
      <c r="G281" s="532"/>
      <c r="H281" s="532"/>
    </row>
    <row r="282" spans="3:8" ht="15.75" customHeight="1">
      <c r="C282" s="532"/>
      <c r="D282" s="532"/>
      <c r="E282" s="532"/>
      <c r="F282" s="532"/>
      <c r="G282" s="532"/>
      <c r="H282" s="532"/>
    </row>
    <row r="283" spans="3:8" ht="15.75" customHeight="1">
      <c r="C283" s="532"/>
      <c r="D283" s="532"/>
      <c r="E283" s="532"/>
      <c r="F283" s="532"/>
      <c r="G283" s="532"/>
      <c r="H283" s="532"/>
    </row>
    <row r="284" spans="3:8" ht="15.75" customHeight="1">
      <c r="C284" s="532"/>
      <c r="D284" s="532"/>
      <c r="E284" s="532"/>
      <c r="F284" s="532"/>
      <c r="G284" s="532"/>
      <c r="H284" s="532"/>
    </row>
  </sheetData>
  <mergeCells count="9">
    <mergeCell ref="C85:C86"/>
    <mergeCell ref="I85:I86"/>
    <mergeCell ref="E2:E3"/>
    <mergeCell ref="F2:F3"/>
    <mergeCell ref="G2:G3"/>
    <mergeCell ref="C6:C7"/>
    <mergeCell ref="D6:D7"/>
    <mergeCell ref="G6:G7"/>
    <mergeCell ref="C34:C35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00B0F0"/>
  </sheetPr>
  <dimension ref="A1:M276"/>
  <sheetViews>
    <sheetView zoomScaleSheetLayoutView="85" workbookViewId="0">
      <pane ySplit="3" topLeftCell="A4" activePane="bottomLeft" state="frozen"/>
      <selection activeCell="A2" sqref="A2"/>
      <selection pane="bottomLeft"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13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13" s="503" customFormat="1" ht="15.75" customHeight="1">
      <c r="A2" s="500" t="str">
        <f>YEAR(기본사항!$C$12)&amp;"년 주요 세무조정"</f>
        <v>2011년 주요 세무조정</v>
      </c>
      <c r="B2" s="501"/>
      <c r="C2" s="501"/>
      <c r="D2" s="501"/>
      <c r="E2" s="1342" t="s">
        <v>2531</v>
      </c>
      <c r="F2" s="1344">
        <f>기본사항!$C$14</f>
        <v>40563</v>
      </c>
      <c r="G2" s="1345" t="str">
        <f>기본사항!$C$17</f>
        <v>Kbj</v>
      </c>
      <c r="H2" s="591"/>
    </row>
    <row r="3" spans="1:13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/>
    </row>
    <row r="5" spans="1:13" ht="15.75" customHeight="1">
      <c r="A5" s="505" t="s">
        <v>2341</v>
      </c>
      <c r="B5" s="505"/>
      <c r="J5" s="545"/>
      <c r="K5" s="545"/>
      <c r="L5" s="545"/>
      <c r="M5" s="545"/>
    </row>
    <row r="6" spans="1:13" ht="15.75" customHeight="1">
      <c r="C6" s="507" t="s">
        <v>2342</v>
      </c>
      <c r="D6" s="508"/>
      <c r="E6" s="508"/>
      <c r="F6" s="508" t="s">
        <v>2343</v>
      </c>
      <c r="G6" s="508"/>
      <c r="H6" s="509"/>
      <c r="J6" s="545"/>
      <c r="K6" s="545"/>
      <c r="L6" s="545"/>
      <c r="M6" s="545"/>
    </row>
    <row r="7" spans="1:13" ht="15.75" customHeight="1">
      <c r="C7" s="510" t="s">
        <v>2344</v>
      </c>
      <c r="D7" s="511" t="s">
        <v>2345</v>
      </c>
      <c r="E7" s="511" t="s">
        <v>2346</v>
      </c>
      <c r="F7" s="511" t="s">
        <v>2344</v>
      </c>
      <c r="G7" s="511" t="s">
        <v>2345</v>
      </c>
      <c r="H7" s="512" t="s">
        <v>2346</v>
      </c>
      <c r="J7" s="568"/>
      <c r="K7" s="568"/>
      <c r="L7" s="568"/>
      <c r="M7" s="568"/>
    </row>
    <row r="8" spans="1:13" ht="15.75" customHeight="1">
      <c r="C8" s="514" t="s">
        <v>2423</v>
      </c>
      <c r="D8" s="515">
        <f>$F$51</f>
        <v>0</v>
      </c>
      <c r="E8" s="601" t="s">
        <v>2361</v>
      </c>
      <c r="F8" s="516" t="s">
        <v>2422</v>
      </c>
      <c r="G8" s="515">
        <f>IF($G$48&lt;0,-$G$48,0)</f>
        <v>0</v>
      </c>
      <c r="H8" s="554" t="s">
        <v>2361</v>
      </c>
      <c r="J8" s="569"/>
      <c r="K8" s="569"/>
      <c r="L8" s="569"/>
      <c r="M8" s="569"/>
    </row>
    <row r="9" spans="1:13" ht="15.75" customHeight="1">
      <c r="C9" s="514" t="s">
        <v>2426</v>
      </c>
      <c r="D9" s="515">
        <f>$D$57</f>
        <v>0</v>
      </c>
      <c r="E9" s="601" t="s">
        <v>2361</v>
      </c>
      <c r="F9" s="516" t="s">
        <v>2424</v>
      </c>
      <c r="G9" s="515">
        <f>$D$56</f>
        <v>0</v>
      </c>
      <c r="H9" s="554" t="s">
        <v>2361</v>
      </c>
      <c r="J9" s="569"/>
      <c r="K9" s="569"/>
      <c r="L9" s="569"/>
      <c r="M9" s="569"/>
    </row>
    <row r="10" spans="1:13" ht="15.75" customHeight="1">
      <c r="C10" s="514"/>
      <c r="D10" s="515"/>
      <c r="E10" s="601"/>
      <c r="F10" s="516" t="s">
        <v>2425</v>
      </c>
      <c r="G10" s="515">
        <f>$H$72</f>
        <v>0</v>
      </c>
      <c r="H10" s="554" t="s">
        <v>2361</v>
      </c>
      <c r="J10" s="545"/>
      <c r="K10" s="545"/>
      <c r="L10" s="545"/>
      <c r="M10" s="545"/>
    </row>
    <row r="11" spans="1:13" ht="15.75" customHeight="1">
      <c r="C11" s="514" t="s">
        <v>2450</v>
      </c>
      <c r="D11" s="515">
        <f>$I$94</f>
        <v>0</v>
      </c>
      <c r="E11" s="601" t="s">
        <v>2361</v>
      </c>
      <c r="F11" s="516" t="s">
        <v>2450</v>
      </c>
      <c r="G11" s="515">
        <f>IF($H$98&lt;0,-$H$98,0)</f>
        <v>0</v>
      </c>
      <c r="H11" s="554" t="s">
        <v>2384</v>
      </c>
      <c r="J11" s="545"/>
      <c r="K11" s="545"/>
      <c r="L11" s="545"/>
      <c r="M11" s="545"/>
    </row>
    <row r="12" spans="1:13" ht="15.75" customHeight="1">
      <c r="C12" s="514" t="s">
        <v>2487</v>
      </c>
      <c r="D12" s="515">
        <f>$E$117</f>
        <v>0</v>
      </c>
      <c r="E12" s="601"/>
      <c r="F12" s="516"/>
      <c r="G12" s="515"/>
      <c r="H12" s="554"/>
      <c r="J12" s="545"/>
      <c r="K12" s="545"/>
      <c r="L12" s="545"/>
      <c r="M12" s="545"/>
    </row>
    <row r="13" spans="1:13" ht="15.75" customHeight="1">
      <c r="C13" s="514" t="s">
        <v>2488</v>
      </c>
      <c r="D13" s="515">
        <f>$E$126</f>
        <v>0</v>
      </c>
      <c r="E13" s="601" t="s">
        <v>2362</v>
      </c>
      <c r="F13" s="516"/>
      <c r="G13" s="515"/>
      <c r="H13" s="554"/>
      <c r="J13" s="545"/>
      <c r="K13" s="545"/>
      <c r="L13" s="545"/>
      <c r="M13" s="545"/>
    </row>
    <row r="14" spans="1:13" ht="15.75" customHeight="1">
      <c r="C14" s="514" t="s">
        <v>2489</v>
      </c>
      <c r="D14" s="515">
        <f>$E$153</f>
        <v>0</v>
      </c>
      <c r="E14" s="601" t="s">
        <v>2362</v>
      </c>
      <c r="F14" s="516"/>
      <c r="G14" s="515"/>
      <c r="H14" s="554"/>
      <c r="J14" s="545"/>
      <c r="K14" s="545"/>
      <c r="L14" s="545"/>
      <c r="M14" s="545"/>
    </row>
    <row r="15" spans="1:13" ht="15.75" customHeight="1">
      <c r="C15" s="514" t="s">
        <v>2601</v>
      </c>
      <c r="D15" s="515">
        <f>$D$164</f>
        <v>0</v>
      </c>
      <c r="E15" s="601" t="s">
        <v>2602</v>
      </c>
      <c r="F15" s="516"/>
      <c r="G15" s="515"/>
      <c r="H15" s="554"/>
      <c r="J15" s="545"/>
      <c r="K15" s="545"/>
      <c r="L15" s="545"/>
      <c r="M15" s="545"/>
    </row>
    <row r="16" spans="1:13" ht="15.75" customHeight="1">
      <c r="C16" s="523"/>
      <c r="D16" s="524">
        <f>SUM(D8:D14)</f>
        <v>0</v>
      </c>
      <c r="E16" s="525"/>
      <c r="F16" s="526"/>
      <c r="G16" s="524">
        <f>SUM(G8:G14)</f>
        <v>0</v>
      </c>
      <c r="H16" s="527"/>
    </row>
    <row r="18" spans="1:9" ht="15.75" customHeight="1">
      <c r="A18" s="505" t="s">
        <v>2347</v>
      </c>
      <c r="B18" s="505"/>
    </row>
    <row r="19" spans="1:9" ht="15.75" customHeight="1">
      <c r="A19" s="528" t="s">
        <v>2348</v>
      </c>
      <c r="B19" s="529" t="s">
        <v>2392</v>
      </c>
      <c r="C19" s="529"/>
      <c r="H19" s="620"/>
      <c r="I19" s="620"/>
    </row>
    <row r="20" spans="1:9" ht="15.75" customHeight="1">
      <c r="A20" s="528"/>
      <c r="B20" s="528" t="s">
        <v>1334</v>
      </c>
      <c r="C20" s="530" t="s">
        <v>2363</v>
      </c>
      <c r="D20" s="598"/>
    </row>
    <row r="21" spans="1:9" ht="15.75" customHeight="1">
      <c r="A21" s="528"/>
      <c r="B21" s="528"/>
      <c r="C21" s="550" t="s">
        <v>2372</v>
      </c>
      <c r="D21" s="532"/>
    </row>
    <row r="22" spans="1:9" ht="15.75" customHeight="1">
      <c r="A22" s="528"/>
      <c r="B22" s="528"/>
      <c r="C22" s="1355" t="s">
        <v>2349</v>
      </c>
      <c r="D22" s="546" t="s">
        <v>2367</v>
      </c>
      <c r="E22" s="547"/>
      <c r="F22" s="546" t="s">
        <v>2369</v>
      </c>
      <c r="G22" s="547"/>
      <c r="H22" s="546" t="s">
        <v>2368</v>
      </c>
      <c r="I22" s="547"/>
    </row>
    <row r="23" spans="1:9" ht="15.75" customHeight="1">
      <c r="A23" s="528"/>
      <c r="B23" s="528"/>
      <c r="C23" s="1356"/>
      <c r="D23" s="594" t="s">
        <v>2365</v>
      </c>
      <c r="E23" s="594" t="s">
        <v>2366</v>
      </c>
      <c r="F23" s="706" t="s">
        <v>2365</v>
      </c>
      <c r="G23" s="594" t="s">
        <v>2366</v>
      </c>
      <c r="H23" s="594" t="s">
        <v>2365</v>
      </c>
      <c r="I23" s="594" t="s">
        <v>2366</v>
      </c>
    </row>
    <row r="24" spans="1:9" ht="15.75" customHeight="1">
      <c r="A24" s="528"/>
      <c r="B24" s="528"/>
      <c r="C24" s="532" t="str">
        <f>'T201'!C36</f>
        <v>직원급여</v>
      </c>
      <c r="D24" s="532">
        <f>'T201'!D36</f>
        <v>0</v>
      </c>
      <c r="E24" s="620">
        <f>'T201'!E36</f>
        <v>0</v>
      </c>
      <c r="F24" s="620">
        <f>'T201'!F36</f>
        <v>0</v>
      </c>
      <c r="G24" s="620">
        <f>'T201'!G36</f>
        <v>0</v>
      </c>
      <c r="H24" s="506">
        <f>D24-F24</f>
        <v>0</v>
      </c>
      <c r="I24" s="506">
        <f>E24-G24</f>
        <v>0</v>
      </c>
    </row>
    <row r="25" spans="1:9" ht="15.75" customHeight="1">
      <c r="A25" s="528"/>
      <c r="B25" s="528"/>
      <c r="C25" s="532">
        <f>'T201'!C37</f>
        <v>0</v>
      </c>
      <c r="D25" s="532">
        <f>'T201'!D37</f>
        <v>0</v>
      </c>
      <c r="E25" s="620">
        <f>'T201'!E37</f>
        <v>0</v>
      </c>
      <c r="F25" s="620">
        <f>'T201'!F37</f>
        <v>0</v>
      </c>
      <c r="G25" s="620">
        <f>'T201'!G37</f>
        <v>0</v>
      </c>
      <c r="H25" s="506">
        <f t="shared" ref="H25:I26" si="0">D25-F25</f>
        <v>0</v>
      </c>
      <c r="I25" s="506">
        <f t="shared" si="0"/>
        <v>0</v>
      </c>
    </row>
    <row r="26" spans="1:9" ht="15.75" customHeight="1">
      <c r="A26" s="528"/>
      <c r="B26" s="528"/>
      <c r="C26" s="534">
        <f>'T201'!C38</f>
        <v>0</v>
      </c>
      <c r="D26" s="534">
        <f>'T201'!D38</f>
        <v>0</v>
      </c>
      <c r="E26" s="534">
        <f>'T201'!E38</f>
        <v>0</v>
      </c>
      <c r="F26" s="534">
        <f>'T201'!F38</f>
        <v>0</v>
      </c>
      <c r="G26" s="534">
        <f>'T201'!G38</f>
        <v>0</v>
      </c>
      <c r="H26" s="548">
        <f t="shared" si="0"/>
        <v>0</v>
      </c>
      <c r="I26" s="548">
        <f t="shared" si="0"/>
        <v>0</v>
      </c>
    </row>
    <row r="27" spans="1:9" ht="15.75" customHeight="1">
      <c r="A27" s="528"/>
      <c r="B27" s="528"/>
      <c r="C27" s="532" t="s">
        <v>2351</v>
      </c>
      <c r="D27" s="532">
        <f>SUM(D24:D26)</f>
        <v>0</v>
      </c>
      <c r="E27" s="532">
        <f>SUM(E24:E26)</f>
        <v>0</v>
      </c>
      <c r="F27" s="620">
        <f t="shared" ref="F27:I27" si="1">SUM(F24:F26)</f>
        <v>0</v>
      </c>
      <c r="G27" s="620">
        <f t="shared" si="1"/>
        <v>0</v>
      </c>
      <c r="H27" s="506">
        <f t="shared" si="1"/>
        <v>0</v>
      </c>
      <c r="I27" s="506">
        <f t="shared" si="1"/>
        <v>0</v>
      </c>
    </row>
    <row r="28" spans="1:9" ht="15.75" customHeight="1" thickBot="1">
      <c r="A28" s="528"/>
      <c r="B28" s="528"/>
      <c r="C28" s="536"/>
      <c r="D28" s="620" t="s">
        <v>2370</v>
      </c>
      <c r="E28" s="620">
        <f>'T201'!E40</f>
        <v>0</v>
      </c>
      <c r="F28" s="620"/>
      <c r="G28" s="620"/>
    </row>
    <row r="29" spans="1:9" ht="15.75" customHeight="1" thickBot="1">
      <c r="A29" s="528"/>
      <c r="B29" s="528"/>
      <c r="C29" s="529"/>
      <c r="D29" s="506" t="s">
        <v>2371</v>
      </c>
      <c r="E29" s="549" t="b">
        <f>E27=E28</f>
        <v>1</v>
      </c>
    </row>
    <row r="30" spans="1:9" ht="15.75" customHeight="1">
      <c r="A30" s="528"/>
      <c r="B30" s="528"/>
      <c r="C30" s="529"/>
    </row>
    <row r="31" spans="1:9" ht="15.75" customHeight="1">
      <c r="A31" s="528"/>
      <c r="B31" s="528"/>
      <c r="C31" s="550" t="s">
        <v>2389</v>
      </c>
    </row>
    <row r="32" spans="1:9" ht="15.75" customHeight="1">
      <c r="A32" s="528"/>
      <c r="B32" s="528"/>
      <c r="C32" s="551" t="s">
        <v>636</v>
      </c>
      <c r="D32" s="595" t="s">
        <v>2390</v>
      </c>
    </row>
    <row r="33" spans="1:9" ht="15.75" customHeight="1">
      <c r="A33" s="528"/>
      <c r="B33" s="528"/>
      <c r="C33" s="552" t="s">
        <v>2382</v>
      </c>
      <c r="D33" s="577">
        <f>'T201'!D45</f>
        <v>0</v>
      </c>
    </row>
    <row r="34" spans="1:9" ht="15.75" customHeight="1">
      <c r="A34" s="528"/>
      <c r="B34" s="528"/>
      <c r="C34" s="552" t="s">
        <v>2388</v>
      </c>
      <c r="D34" s="577">
        <f>'T201'!D46</f>
        <v>0</v>
      </c>
    </row>
    <row r="35" spans="1:9" ht="15.75" customHeight="1">
      <c r="A35" s="528"/>
      <c r="B35" s="528"/>
      <c r="C35" s="529"/>
    </row>
    <row r="36" spans="1:9" ht="15.75" customHeight="1">
      <c r="A36" s="528"/>
      <c r="B36" s="528"/>
      <c r="C36" s="530" t="s">
        <v>2409</v>
      </c>
      <c r="D36" s="598"/>
    </row>
    <row r="37" spans="1:9" ht="15.75" customHeight="1">
      <c r="A37" s="528"/>
      <c r="B37" s="528"/>
      <c r="C37" s="599" t="s">
        <v>2349</v>
      </c>
      <c r="D37" s="563" t="s">
        <v>2345</v>
      </c>
      <c r="F37" s="528" t="s">
        <v>2427</v>
      </c>
    </row>
    <row r="38" spans="1:9" ht="15.75" customHeight="1">
      <c r="A38" s="528"/>
      <c r="B38" s="528"/>
      <c r="C38" s="564" t="s">
        <v>2350</v>
      </c>
      <c r="D38" s="566">
        <f>'T201'!D50</f>
        <v>0</v>
      </c>
      <c r="F38" s="517" t="s">
        <v>636</v>
      </c>
      <c r="G38" s="518" t="s">
        <v>715</v>
      </c>
      <c r="H38" s="595" t="s">
        <v>2430</v>
      </c>
    </row>
    <row r="39" spans="1:9" ht="15.75" customHeight="1">
      <c r="A39" s="528"/>
      <c r="B39" s="528"/>
      <c r="C39" s="564" t="s">
        <v>2410</v>
      </c>
      <c r="D39" s="566">
        <f>'T201'!D51</f>
        <v>0</v>
      </c>
      <c r="F39" s="520" t="s">
        <v>2428</v>
      </c>
      <c r="G39" s="567">
        <f>'T201'!G51</f>
        <v>0</v>
      </c>
      <c r="H39" s="522" t="s">
        <v>2431</v>
      </c>
    </row>
    <row r="40" spans="1:9" ht="15.75" customHeight="1">
      <c r="A40" s="528"/>
      <c r="B40" s="528"/>
      <c r="C40" s="564" t="s">
        <v>2411</v>
      </c>
      <c r="D40" s="566">
        <f>'T201'!D52</f>
        <v>0</v>
      </c>
      <c r="F40" s="520" t="s">
        <v>2429</v>
      </c>
      <c r="G40" s="567">
        <f>'T201'!G52</f>
        <v>0</v>
      </c>
      <c r="H40" s="522" t="s">
        <v>2432</v>
      </c>
    </row>
    <row r="41" spans="1:9" ht="15.75" customHeight="1">
      <c r="A41" s="528"/>
      <c r="B41" s="528"/>
      <c r="C41" s="564" t="s">
        <v>2412</v>
      </c>
      <c r="D41" s="566">
        <f>D38+D39-D40</f>
        <v>0</v>
      </c>
      <c r="F41" s="520" t="s">
        <v>2433</v>
      </c>
      <c r="G41" s="521">
        <f>SUM(G39:G40)</f>
        <v>0</v>
      </c>
      <c r="H41" s="522"/>
    </row>
    <row r="42" spans="1:9" ht="15.75" customHeight="1">
      <c r="A42" s="528"/>
      <c r="B42" s="528"/>
      <c r="C42" s="598"/>
      <c r="D42" s="598"/>
    </row>
    <row r="43" spans="1:9" ht="15.75" customHeight="1">
      <c r="A43" s="528"/>
      <c r="B43" s="528" t="s">
        <v>1343</v>
      </c>
      <c r="C43" s="598" t="s">
        <v>2391</v>
      </c>
    </row>
    <row r="44" spans="1:9" ht="15.75" customHeight="1">
      <c r="A44" s="528"/>
      <c r="B44" s="528"/>
      <c r="C44" s="551" t="s">
        <v>636</v>
      </c>
      <c r="D44" s="518" t="s">
        <v>2373</v>
      </c>
      <c r="E44" s="518" t="s">
        <v>2374</v>
      </c>
      <c r="F44" s="595" t="s">
        <v>2375</v>
      </c>
    </row>
    <row r="45" spans="1:9" ht="15.75" customHeight="1">
      <c r="A45" s="528"/>
      <c r="B45" s="528"/>
      <c r="C45" s="552" t="s">
        <v>2377</v>
      </c>
      <c r="D45" s="521">
        <f>$I$27</f>
        <v>0</v>
      </c>
      <c r="E45" s="553">
        <v>0.05</v>
      </c>
      <c r="F45" s="522">
        <f>ROUNDDOWN(D45*E45,0)</f>
        <v>0</v>
      </c>
    </row>
    <row r="46" spans="1:9" ht="15.75" customHeight="1">
      <c r="A46" s="528"/>
      <c r="B46" s="528"/>
      <c r="C46" s="529"/>
    </row>
    <row r="47" spans="1:9" ht="15.75" customHeight="1">
      <c r="A47" s="528"/>
      <c r="B47" s="528"/>
      <c r="C47" s="551" t="s">
        <v>636</v>
      </c>
      <c r="D47" s="518" t="s">
        <v>2378</v>
      </c>
      <c r="E47" s="518" t="s">
        <v>2379</v>
      </c>
      <c r="F47" s="518" t="s">
        <v>2380</v>
      </c>
      <c r="G47" s="518" t="s">
        <v>2381</v>
      </c>
      <c r="H47" s="555">
        <f>IF('T201'!$D$55=1,35%,30%)</f>
        <v>0.3</v>
      </c>
      <c r="I47" s="595" t="s">
        <v>2375</v>
      </c>
    </row>
    <row r="48" spans="1:9" ht="15.75" customHeight="1">
      <c r="A48" s="528"/>
      <c r="B48" s="528"/>
      <c r="C48" s="552" t="s">
        <v>2376</v>
      </c>
      <c r="D48" s="567">
        <f>D38</f>
        <v>0</v>
      </c>
      <c r="E48" s="567">
        <f>IFERROR(VLOOKUP("퇴직급여충당금",'T201'!$C$8:$D$21,2,FALSE),0)</f>
        <v>0</v>
      </c>
      <c r="F48" s="567">
        <f>$G$39</f>
        <v>0</v>
      </c>
      <c r="G48" s="521">
        <f>D48-E48-F48</f>
        <v>0</v>
      </c>
      <c r="H48" s="521">
        <f>ROUND($D$33*$H$47,0)+$D$34</f>
        <v>0</v>
      </c>
      <c r="I48" s="522">
        <f>IF($G$48&lt;0,$H$48,($H$48-$G$48))</f>
        <v>0</v>
      </c>
    </row>
    <row r="49" spans="1:8" ht="15.75" customHeight="1">
      <c r="A49" s="528"/>
      <c r="B49" s="528"/>
      <c r="C49" s="529"/>
    </row>
    <row r="50" spans="1:8" ht="15.75" customHeight="1">
      <c r="A50" s="528"/>
      <c r="B50" s="528"/>
      <c r="C50" s="551" t="s">
        <v>636</v>
      </c>
      <c r="D50" s="518" t="s">
        <v>2375</v>
      </c>
      <c r="E50" s="518" t="s">
        <v>2386</v>
      </c>
      <c r="F50" s="595" t="s">
        <v>2387</v>
      </c>
    </row>
    <row r="51" spans="1:8" ht="15.75" customHeight="1">
      <c r="A51" s="528"/>
      <c r="B51" s="528"/>
      <c r="C51" s="552" t="s">
        <v>2385</v>
      </c>
      <c r="D51" s="521">
        <f>MIN($F$45,$I$48)</f>
        <v>0</v>
      </c>
      <c r="E51" s="567">
        <f>D39</f>
        <v>0</v>
      </c>
      <c r="F51" s="608">
        <f>IF(($E$51-$D$51)&gt;0,($E$51-$D$51),0)</f>
        <v>0</v>
      </c>
    </row>
    <row r="52" spans="1:8" ht="15.75" customHeight="1">
      <c r="A52" s="528"/>
      <c r="B52" s="528"/>
      <c r="C52" s="529"/>
    </row>
    <row r="53" spans="1:8" ht="15.75" customHeight="1">
      <c r="A53" s="528" t="s">
        <v>1069</v>
      </c>
      <c r="B53" s="506" t="s">
        <v>2394</v>
      </c>
      <c r="C53" s="529"/>
    </row>
    <row r="54" spans="1:8" ht="15.75" customHeight="1">
      <c r="A54" s="528"/>
      <c r="B54" s="528" t="s">
        <v>1334</v>
      </c>
      <c r="C54" s="529" t="s">
        <v>2437</v>
      </c>
    </row>
    <row r="55" spans="1:8" ht="15.75" customHeight="1">
      <c r="A55" s="528"/>
      <c r="C55" s="551" t="s">
        <v>636</v>
      </c>
      <c r="D55" s="518" t="s">
        <v>715</v>
      </c>
      <c r="E55" s="595" t="s">
        <v>2430</v>
      </c>
    </row>
    <row r="56" spans="1:8" ht="15.75" customHeight="1">
      <c r="A56" s="528"/>
      <c r="C56" s="552" t="s">
        <v>2383</v>
      </c>
      <c r="D56" s="521">
        <f>$G$40</f>
        <v>0</v>
      </c>
      <c r="E56" s="522" t="s">
        <v>2435</v>
      </c>
    </row>
    <row r="57" spans="1:8" ht="15.75" customHeight="1">
      <c r="A57" s="528"/>
      <c r="C57" s="552" t="s">
        <v>2434</v>
      </c>
      <c r="D57" s="521">
        <f>D56</f>
        <v>0</v>
      </c>
      <c r="E57" s="522" t="s">
        <v>2436</v>
      </c>
    </row>
    <row r="58" spans="1:8" ht="15.75" customHeight="1">
      <c r="A58" s="528"/>
      <c r="C58" s="529"/>
    </row>
    <row r="59" spans="1:8" ht="15.75" customHeight="1">
      <c r="A59" s="528"/>
      <c r="B59" s="528" t="s">
        <v>1343</v>
      </c>
      <c r="C59" s="529" t="s">
        <v>2396</v>
      </c>
    </row>
    <row r="60" spans="1:8" ht="15.75" customHeight="1">
      <c r="A60" s="528"/>
      <c r="B60" s="528"/>
      <c r="C60" s="551" t="s">
        <v>636</v>
      </c>
      <c r="D60" s="561" t="s">
        <v>2398</v>
      </c>
      <c r="E60" s="518" t="s">
        <v>2399</v>
      </c>
      <c r="F60" s="518" t="s">
        <v>2400</v>
      </c>
      <c r="G60" s="595" t="s">
        <v>2401</v>
      </c>
    </row>
    <row r="61" spans="1:8" ht="15.75" customHeight="1">
      <c r="A61" s="528"/>
      <c r="B61" s="528"/>
      <c r="C61" s="552" t="s">
        <v>2397</v>
      </c>
      <c r="D61" s="567">
        <f>'T201'!D60</f>
        <v>0</v>
      </c>
      <c r="E61" s="567">
        <f>'T201'!E60</f>
        <v>0</v>
      </c>
      <c r="F61" s="567">
        <f>'T201'!F60</f>
        <v>0</v>
      </c>
      <c r="G61" s="522">
        <f>D61-E61+F61</f>
        <v>0</v>
      </c>
    </row>
    <row r="62" spans="1:8" ht="15.75" customHeight="1">
      <c r="A62" s="528"/>
      <c r="B62" s="528"/>
      <c r="C62" s="529"/>
    </row>
    <row r="63" spans="1:8" ht="15.75" customHeight="1">
      <c r="A63" s="528"/>
      <c r="B63" s="528" t="s">
        <v>1348</v>
      </c>
      <c r="C63" s="529" t="s">
        <v>2403</v>
      </c>
    </row>
    <row r="64" spans="1:8" ht="15.75" customHeight="1">
      <c r="A64" s="528"/>
      <c r="B64" s="528"/>
      <c r="C64" s="551" t="s">
        <v>636</v>
      </c>
      <c r="D64" s="518" t="s">
        <v>2401</v>
      </c>
      <c r="E64" s="518" t="s">
        <v>2404</v>
      </c>
      <c r="F64" s="518" t="s">
        <v>2399</v>
      </c>
      <c r="G64" s="518" t="s">
        <v>2405</v>
      </c>
      <c r="H64" s="595" t="s">
        <v>2406</v>
      </c>
    </row>
    <row r="65" spans="1:8" ht="15.75" customHeight="1">
      <c r="A65" s="528"/>
      <c r="B65" s="528"/>
      <c r="C65" s="552" t="s">
        <v>715</v>
      </c>
      <c r="D65" s="521">
        <f>$G$61</f>
        <v>0</v>
      </c>
      <c r="E65" s="567">
        <f>IFERROR(-VLOOKUP("퇴직보험충당금",'T201'!$C$8:$D$21,2,FALSE),0)</f>
        <v>0</v>
      </c>
      <c r="F65" s="567">
        <f>$E$61</f>
        <v>0</v>
      </c>
      <c r="G65" s="521">
        <f>E65-F65</f>
        <v>0</v>
      </c>
      <c r="H65" s="522">
        <f>D65-G65</f>
        <v>0</v>
      </c>
    </row>
    <row r="66" spans="1:8" ht="15.75" customHeight="1">
      <c r="A66" s="528"/>
      <c r="B66" s="528"/>
      <c r="C66" s="529"/>
    </row>
    <row r="67" spans="1:8" ht="15.75" customHeight="1">
      <c r="A67" s="528"/>
      <c r="B67" s="528" t="s">
        <v>1356</v>
      </c>
      <c r="C67" s="529" t="s">
        <v>2393</v>
      </c>
    </row>
    <row r="68" spans="1:8" ht="15.75" customHeight="1">
      <c r="A68" s="528"/>
      <c r="B68" s="528"/>
      <c r="C68" s="551" t="s">
        <v>636</v>
      </c>
      <c r="D68" s="518" t="s">
        <v>2407</v>
      </c>
      <c r="E68" s="518" t="s">
        <v>2408</v>
      </c>
      <c r="F68" s="518" t="s">
        <v>2413</v>
      </c>
      <c r="G68" s="518" t="s">
        <v>2381</v>
      </c>
      <c r="H68" s="595" t="s">
        <v>2415</v>
      </c>
    </row>
    <row r="69" spans="1:8" ht="15.75" customHeight="1">
      <c r="A69" s="528"/>
      <c r="B69" s="528"/>
      <c r="C69" s="552" t="s">
        <v>2393</v>
      </c>
      <c r="D69" s="521">
        <f>$D$33</f>
        <v>0</v>
      </c>
      <c r="E69" s="521">
        <f>D41</f>
        <v>0</v>
      </c>
      <c r="F69" s="521">
        <f>SUM($E$48,$F$51,-$D$56)+IF($G$48&lt;0,$G$48,0)</f>
        <v>0</v>
      </c>
      <c r="G69" s="521">
        <f>E69-F69</f>
        <v>0</v>
      </c>
      <c r="H69" s="522">
        <f>D69-G69</f>
        <v>0</v>
      </c>
    </row>
    <row r="70" spans="1:8" ht="15.75" customHeight="1">
      <c r="A70" s="528"/>
      <c r="B70" s="528"/>
      <c r="C70" s="529"/>
    </row>
    <row r="71" spans="1:8" ht="15.75" customHeight="1">
      <c r="A71" s="528"/>
      <c r="B71" s="528"/>
      <c r="C71" s="551" t="s">
        <v>2414</v>
      </c>
      <c r="D71" s="518" t="s">
        <v>2416</v>
      </c>
      <c r="E71" s="518" t="s">
        <v>2417</v>
      </c>
      <c r="F71" s="518" t="s">
        <v>2418</v>
      </c>
      <c r="G71" s="518" t="s">
        <v>2419</v>
      </c>
      <c r="H71" s="595" t="s">
        <v>2420</v>
      </c>
    </row>
    <row r="72" spans="1:8" ht="15.75" customHeight="1">
      <c r="A72" s="528"/>
      <c r="B72" s="528"/>
      <c r="C72" s="520">
        <f>$G$65</f>
        <v>0</v>
      </c>
      <c r="D72" s="521">
        <f>H69-C72</f>
        <v>0</v>
      </c>
      <c r="E72" s="521">
        <f>$H$65</f>
        <v>0</v>
      </c>
      <c r="F72" s="521">
        <f>MIN(D72,E72)</f>
        <v>0</v>
      </c>
      <c r="G72" s="521"/>
      <c r="H72" s="608">
        <f>F72-G72</f>
        <v>0</v>
      </c>
    </row>
    <row r="73" spans="1:8" ht="15.75" customHeight="1">
      <c r="A73" s="528"/>
      <c r="B73" s="528"/>
      <c r="C73" s="529"/>
    </row>
    <row r="74" spans="1:8" ht="15.75" customHeight="1">
      <c r="A74" s="528" t="s">
        <v>1070</v>
      </c>
      <c r="B74" s="506" t="s">
        <v>2444</v>
      </c>
      <c r="C74" s="530"/>
      <c r="D74" s="598"/>
      <c r="E74" s="532"/>
      <c r="F74" s="532"/>
      <c r="G74" s="532"/>
      <c r="H74" s="532"/>
    </row>
    <row r="75" spans="1:8" ht="15.75" customHeight="1">
      <c r="A75" s="528"/>
      <c r="B75" s="528" t="s">
        <v>1334</v>
      </c>
      <c r="C75" s="598" t="s">
        <v>2445</v>
      </c>
      <c r="D75" s="598"/>
      <c r="E75" s="532"/>
      <c r="F75" s="598"/>
      <c r="G75" s="598"/>
      <c r="H75" s="532"/>
    </row>
    <row r="76" spans="1:8" ht="15.75" customHeight="1">
      <c r="A76" s="528"/>
      <c r="B76" s="528"/>
      <c r="C76" s="599" t="s">
        <v>2349</v>
      </c>
      <c r="D76" s="563" t="s">
        <v>2345</v>
      </c>
      <c r="E76" s="532"/>
      <c r="F76" s="599" t="s">
        <v>2349</v>
      </c>
      <c r="G76" s="563" t="s">
        <v>2345</v>
      </c>
      <c r="H76" s="532"/>
    </row>
    <row r="77" spans="1:8" ht="15.75" customHeight="1">
      <c r="A77" s="528"/>
      <c r="B77" s="528"/>
      <c r="C77" s="564" t="s">
        <v>2350</v>
      </c>
      <c r="D77" s="566">
        <f>'T201'!D65</f>
        <v>0</v>
      </c>
      <c r="E77" s="532"/>
      <c r="F77" s="564" t="s">
        <v>2591</v>
      </c>
      <c r="G77" s="566">
        <f>'T201'!G65</f>
        <v>0</v>
      </c>
      <c r="H77" s="532"/>
    </row>
    <row r="78" spans="1:8" ht="15.75" customHeight="1">
      <c r="A78" s="528"/>
      <c r="B78" s="528"/>
      <c r="C78" s="564" t="s">
        <v>2410</v>
      </c>
      <c r="D78" s="566">
        <f>G79</f>
        <v>0</v>
      </c>
      <c r="E78" s="532"/>
      <c r="F78" s="564" t="s">
        <v>2592</v>
      </c>
      <c r="G78" s="566">
        <f>'T201'!G66</f>
        <v>0</v>
      </c>
      <c r="H78" s="532"/>
    </row>
    <row r="79" spans="1:8" ht="15.75" customHeight="1">
      <c r="A79" s="528"/>
      <c r="B79" s="528"/>
      <c r="C79" s="564" t="s">
        <v>2446</v>
      </c>
      <c r="D79" s="566">
        <f>'T201'!D67</f>
        <v>0</v>
      </c>
      <c r="E79" s="532"/>
      <c r="F79" s="564" t="s">
        <v>2351</v>
      </c>
      <c r="G79" s="566">
        <f>SUM(G77:G78)</f>
        <v>0</v>
      </c>
      <c r="H79" s="532"/>
    </row>
    <row r="80" spans="1:8" ht="15.75" customHeight="1">
      <c r="A80" s="528"/>
      <c r="B80" s="528"/>
      <c r="C80" s="564" t="s">
        <v>2412</v>
      </c>
      <c r="D80" s="566">
        <f>D77+D78-D79</f>
        <v>0</v>
      </c>
      <c r="E80" s="532"/>
      <c r="F80" s="532"/>
      <c r="G80" s="532"/>
      <c r="H80" s="532"/>
    </row>
    <row r="81" spans="1:9" ht="15.75" customHeight="1">
      <c r="A81" s="528"/>
      <c r="B81" s="528"/>
      <c r="C81" s="545"/>
      <c r="D81" s="545"/>
      <c r="E81" s="532"/>
      <c r="F81" s="545"/>
      <c r="G81" s="545"/>
      <c r="H81" s="532"/>
    </row>
    <row r="82" spans="1:9" ht="15.75" customHeight="1">
      <c r="A82" s="528"/>
      <c r="B82" s="528" t="s">
        <v>1343</v>
      </c>
      <c r="C82" s="506" t="s">
        <v>2447</v>
      </c>
      <c r="E82" s="532"/>
      <c r="F82" s="532"/>
      <c r="G82" s="532"/>
      <c r="H82" s="532"/>
    </row>
    <row r="83" spans="1:9" ht="15.75" customHeight="1">
      <c r="A83" s="528"/>
      <c r="B83" s="528"/>
      <c r="C83" s="627" t="s">
        <v>2448</v>
      </c>
      <c r="D83" s="601" t="s">
        <v>2451</v>
      </c>
      <c r="E83" s="601" t="s">
        <v>2452</v>
      </c>
      <c r="F83" s="601" t="s">
        <v>2443</v>
      </c>
      <c r="G83" s="601" t="s">
        <v>2453</v>
      </c>
      <c r="H83" s="554" t="s">
        <v>2454</v>
      </c>
    </row>
    <row r="84" spans="1:9" ht="15.75" customHeight="1">
      <c r="A84" s="528"/>
      <c r="B84" s="528"/>
      <c r="C84" s="628" t="str">
        <f>'T201'!C72</f>
        <v>외상매출금</v>
      </c>
      <c r="D84" s="567">
        <f>'T201'!D72</f>
        <v>0</v>
      </c>
      <c r="E84" s="567">
        <f>'T201'!E72</f>
        <v>0</v>
      </c>
      <c r="F84" s="567">
        <f>SUM(D84:E84)</f>
        <v>0</v>
      </c>
      <c r="G84" s="567">
        <f>'T201'!F72</f>
        <v>0</v>
      </c>
      <c r="H84" s="577">
        <f>F84-G84</f>
        <v>0</v>
      </c>
    </row>
    <row r="85" spans="1:9" ht="15.75" customHeight="1">
      <c r="A85" s="528"/>
      <c r="B85" s="528"/>
      <c r="C85" s="628" t="str">
        <f>'T201'!C73</f>
        <v>미수금</v>
      </c>
      <c r="D85" s="567">
        <f>'T201'!D73</f>
        <v>0</v>
      </c>
      <c r="E85" s="567">
        <f>'T201'!E73</f>
        <v>0</v>
      </c>
      <c r="F85" s="567">
        <f t="shared" ref="F85:F88" si="2">SUM(D85:E85)</f>
        <v>0</v>
      </c>
      <c r="G85" s="567">
        <f>'T201'!F73</f>
        <v>0</v>
      </c>
      <c r="H85" s="577">
        <f t="shared" ref="H85:H88" si="3">F85-G85</f>
        <v>0</v>
      </c>
    </row>
    <row r="86" spans="1:9" ht="15.75" customHeight="1">
      <c r="A86" s="528"/>
      <c r="B86" s="528"/>
      <c r="C86" s="628">
        <f>'T201'!C74</f>
        <v>0</v>
      </c>
      <c r="D86" s="567">
        <f>'T201'!D74</f>
        <v>0</v>
      </c>
      <c r="E86" s="567">
        <f>'T201'!E74</f>
        <v>0</v>
      </c>
      <c r="F86" s="567">
        <f t="shared" si="2"/>
        <v>0</v>
      </c>
      <c r="G86" s="567">
        <f>'T201'!F74</f>
        <v>0</v>
      </c>
      <c r="H86" s="577">
        <f t="shared" si="3"/>
        <v>0</v>
      </c>
    </row>
    <row r="87" spans="1:9" ht="15.75" customHeight="1">
      <c r="A87" s="528"/>
      <c r="B87" s="528"/>
      <c r="C87" s="628">
        <f>'T201'!C75</f>
        <v>0</v>
      </c>
      <c r="D87" s="567">
        <f>'T201'!D75</f>
        <v>0</v>
      </c>
      <c r="E87" s="567">
        <f>'T201'!E75</f>
        <v>0</v>
      </c>
      <c r="F87" s="567">
        <f t="shared" si="2"/>
        <v>0</v>
      </c>
      <c r="G87" s="567">
        <f>'T201'!F75</f>
        <v>0</v>
      </c>
      <c r="H87" s="577">
        <f t="shared" si="3"/>
        <v>0</v>
      </c>
    </row>
    <row r="88" spans="1:9" ht="15.75" customHeight="1">
      <c r="A88" s="528"/>
      <c r="B88" s="528"/>
      <c r="C88" s="628">
        <f>'T201'!C76</f>
        <v>0</v>
      </c>
      <c r="D88" s="567">
        <f>'T201'!D76</f>
        <v>0</v>
      </c>
      <c r="E88" s="567">
        <f>'T201'!E76</f>
        <v>0</v>
      </c>
      <c r="F88" s="567">
        <f t="shared" si="2"/>
        <v>0</v>
      </c>
      <c r="G88" s="567">
        <f>'T201'!F76</f>
        <v>0</v>
      </c>
      <c r="H88" s="577">
        <f t="shared" si="3"/>
        <v>0</v>
      </c>
    </row>
    <row r="89" spans="1:9" ht="15.75" customHeight="1">
      <c r="A89" s="528"/>
      <c r="B89" s="528"/>
      <c r="C89" s="628" t="s">
        <v>2433</v>
      </c>
      <c r="D89" s="567">
        <f>SUM(D84:D88)</f>
        <v>0</v>
      </c>
      <c r="E89" s="567">
        <f t="shared" ref="E89:H89" si="4">SUM(E84:E88)</f>
        <v>0</v>
      </c>
      <c r="F89" s="567">
        <f t="shared" si="4"/>
        <v>0</v>
      </c>
      <c r="G89" s="567">
        <f t="shared" si="4"/>
        <v>0</v>
      </c>
      <c r="H89" s="577">
        <f t="shared" si="4"/>
        <v>0</v>
      </c>
    </row>
    <row r="90" spans="1:9" ht="15.75" customHeight="1">
      <c r="A90" s="528"/>
      <c r="B90" s="528"/>
      <c r="C90" s="530"/>
      <c r="D90" s="598"/>
      <c r="E90" s="532"/>
      <c r="F90" s="532"/>
      <c r="G90" s="532"/>
      <c r="H90" s="532"/>
    </row>
    <row r="91" spans="1:9" ht="15.75" customHeight="1">
      <c r="A91" s="528"/>
      <c r="B91" s="528" t="s">
        <v>1348</v>
      </c>
      <c r="C91" s="598" t="s">
        <v>2455</v>
      </c>
      <c r="D91" s="598"/>
      <c r="E91" s="532"/>
      <c r="F91" s="532"/>
      <c r="G91" s="532"/>
      <c r="H91" s="532"/>
    </row>
    <row r="92" spans="1:9" ht="15.75" customHeight="1">
      <c r="A92" s="528"/>
      <c r="B92" s="528"/>
      <c r="C92" s="1359" t="s">
        <v>2454</v>
      </c>
      <c r="D92" s="1360" t="s">
        <v>2374</v>
      </c>
      <c r="E92" s="1361" t="s">
        <v>2375</v>
      </c>
      <c r="F92" s="578" t="s">
        <v>2386</v>
      </c>
      <c r="G92" s="578"/>
      <c r="H92" s="578"/>
      <c r="I92" s="1357" t="s">
        <v>2387</v>
      </c>
    </row>
    <row r="93" spans="1:9" ht="15.75" customHeight="1">
      <c r="A93" s="528"/>
      <c r="B93" s="528"/>
      <c r="C93" s="1359"/>
      <c r="D93" s="1360"/>
      <c r="E93" s="1361"/>
      <c r="F93" s="601" t="s">
        <v>2456</v>
      </c>
      <c r="G93" s="601" t="s">
        <v>2457</v>
      </c>
      <c r="H93" s="601" t="s">
        <v>2433</v>
      </c>
      <c r="I93" s="1357"/>
    </row>
    <row r="94" spans="1:9" ht="15.75" customHeight="1">
      <c r="A94" s="528"/>
      <c r="B94" s="528"/>
      <c r="C94" s="579">
        <f>$H$89</f>
        <v>0</v>
      </c>
      <c r="D94" s="553">
        <v>0.01</v>
      </c>
      <c r="E94" s="567">
        <f>C94*D94</f>
        <v>0</v>
      </c>
      <c r="F94" s="567">
        <f>$G$77</f>
        <v>0</v>
      </c>
      <c r="G94" s="567">
        <f>$D$77-$D$79+$G$78</f>
        <v>0</v>
      </c>
      <c r="H94" s="567">
        <f>SUM(F94:G94)</f>
        <v>0</v>
      </c>
      <c r="I94" s="608">
        <f>IF(($H$94-$E$94)&gt;0,($H$94-$E$94),0)</f>
        <v>0</v>
      </c>
    </row>
    <row r="95" spans="1:9" ht="15.75" customHeight="1">
      <c r="A95" s="528"/>
      <c r="B95" s="528"/>
      <c r="C95" s="530"/>
      <c r="D95" s="598"/>
      <c r="E95" s="532"/>
      <c r="F95" s="532"/>
      <c r="G95" s="532"/>
      <c r="H95" s="532"/>
    </row>
    <row r="96" spans="1:9" ht="15.75" customHeight="1">
      <c r="A96" s="528"/>
      <c r="B96" s="528" t="s">
        <v>1356</v>
      </c>
      <c r="C96" s="598" t="s">
        <v>2458</v>
      </c>
      <c r="D96" s="598"/>
      <c r="E96" s="532"/>
      <c r="F96" s="532"/>
      <c r="G96" s="532"/>
      <c r="H96" s="532"/>
    </row>
    <row r="97" spans="1:9" ht="15.75" customHeight="1">
      <c r="A97" s="528"/>
      <c r="B97" s="528"/>
      <c r="C97" s="599" t="s">
        <v>2459</v>
      </c>
      <c r="D97" s="600" t="s">
        <v>2460</v>
      </c>
      <c r="E97" s="601" t="s">
        <v>2379</v>
      </c>
      <c r="F97" s="601" t="s">
        <v>2461</v>
      </c>
      <c r="G97" s="601" t="s">
        <v>2462</v>
      </c>
      <c r="H97" s="554" t="s">
        <v>2463</v>
      </c>
    </row>
    <row r="98" spans="1:9" ht="15.75" customHeight="1">
      <c r="A98" s="528"/>
      <c r="B98" s="528"/>
      <c r="C98" s="579">
        <f>$D$77</f>
        <v>0</v>
      </c>
      <c r="D98" s="580">
        <f>-$G$78</f>
        <v>0</v>
      </c>
      <c r="E98" s="567">
        <f>IFERROR(VLOOKUP("대손충당금",'T201'!$C$8:$G$21,2,FALSE),0)</f>
        <v>0</v>
      </c>
      <c r="F98" s="567">
        <f>$D$79</f>
        <v>0</v>
      </c>
      <c r="G98" s="567">
        <f>$G$94</f>
        <v>0</v>
      </c>
      <c r="H98" s="608">
        <f>C98-D98-E98-F98-G98</f>
        <v>0</v>
      </c>
    </row>
    <row r="99" spans="1:9" ht="15.75" customHeight="1">
      <c r="A99" s="528"/>
      <c r="B99" s="528"/>
      <c r="C99" s="530"/>
      <c r="D99" s="598"/>
      <c r="E99" s="532"/>
      <c r="F99" s="532"/>
      <c r="G99" s="532"/>
      <c r="H99" s="532"/>
    </row>
    <row r="100" spans="1:9" ht="15.75" customHeight="1">
      <c r="A100" s="528"/>
      <c r="B100" s="528"/>
      <c r="C100" s="530"/>
      <c r="D100" s="598"/>
      <c r="E100" s="532"/>
      <c r="F100" s="532"/>
      <c r="G100" s="532"/>
      <c r="H100" s="532"/>
    </row>
    <row r="101" spans="1:9" ht="15.75" customHeight="1">
      <c r="A101" s="528" t="s">
        <v>1076</v>
      </c>
      <c r="B101" s="506" t="s">
        <v>2464</v>
      </c>
      <c r="C101" s="530"/>
      <c r="D101" s="598"/>
      <c r="E101" s="532"/>
      <c r="F101" s="532"/>
      <c r="G101" s="532"/>
      <c r="H101" s="532"/>
    </row>
    <row r="102" spans="1:9" ht="15.75" customHeight="1">
      <c r="A102" s="528"/>
      <c r="B102" s="528" t="s">
        <v>1334</v>
      </c>
      <c r="C102" s="598" t="s">
        <v>2465</v>
      </c>
      <c r="D102" s="598"/>
      <c r="E102" s="532"/>
      <c r="F102" s="532"/>
      <c r="G102" s="532"/>
      <c r="H102" s="532"/>
    </row>
    <row r="103" spans="1:9" ht="15.75" customHeight="1">
      <c r="A103" s="528"/>
      <c r="B103" s="528"/>
      <c r="C103" s="599" t="s">
        <v>636</v>
      </c>
      <c r="D103" s="600" t="s">
        <v>2466</v>
      </c>
      <c r="E103" s="601" t="s">
        <v>2504</v>
      </c>
      <c r="F103" s="554" t="s">
        <v>2433</v>
      </c>
      <c r="G103" s="532"/>
      <c r="H103" s="532"/>
    </row>
    <row r="104" spans="1:9" ht="15.75" customHeight="1">
      <c r="A104" s="528"/>
      <c r="B104" s="528"/>
      <c r="C104" s="564" t="s">
        <v>715</v>
      </c>
      <c r="D104" s="580">
        <f>'T201'!$D$82</f>
        <v>0</v>
      </c>
      <c r="E104" s="567">
        <f>'T201'!$E$82</f>
        <v>0</v>
      </c>
      <c r="F104" s="577">
        <f>SUM(D104:E104)</f>
        <v>0</v>
      </c>
      <c r="G104" s="532"/>
      <c r="H104" s="532"/>
    </row>
    <row r="105" spans="1:9" ht="15.75" customHeight="1">
      <c r="A105" s="528"/>
      <c r="B105" s="528"/>
      <c r="C105" s="530"/>
      <c r="D105" s="598"/>
      <c r="E105" s="532" t="s">
        <v>2467</v>
      </c>
      <c r="F105" s="629">
        <f>'T201'!$E$83</f>
        <v>4992250970</v>
      </c>
      <c r="G105" s="532" t="b">
        <f>F104=F105</f>
        <v>0</v>
      </c>
      <c r="H105" s="532"/>
    </row>
    <row r="106" spans="1:9" ht="15.75" customHeight="1">
      <c r="A106" s="528"/>
      <c r="B106" s="528"/>
      <c r="C106" s="530"/>
      <c r="D106" s="598"/>
      <c r="E106" s="532"/>
      <c r="F106" s="532"/>
      <c r="G106" s="532"/>
      <c r="H106" s="532"/>
    </row>
    <row r="107" spans="1:9" ht="15.75" customHeight="1">
      <c r="A107" s="528"/>
      <c r="B107" s="528"/>
      <c r="C107" s="1348" t="s">
        <v>2349</v>
      </c>
      <c r="D107" s="583" t="s">
        <v>2353</v>
      </c>
      <c r="E107" s="583"/>
      <c r="F107" s="583" t="s">
        <v>2490</v>
      </c>
      <c r="G107" s="583"/>
      <c r="H107" s="597" t="s">
        <v>2354</v>
      </c>
      <c r="I107" s="1348" t="s">
        <v>2351</v>
      </c>
    </row>
    <row r="108" spans="1:9" ht="15.75" customHeight="1">
      <c r="A108" s="528"/>
      <c r="B108" s="528"/>
      <c r="C108" s="1358"/>
      <c r="D108" s="584" t="s">
        <v>2355</v>
      </c>
      <c r="E108" s="584" t="s">
        <v>2356</v>
      </c>
      <c r="F108" s="584" t="s">
        <v>2355</v>
      </c>
      <c r="G108" s="584" t="s">
        <v>2356</v>
      </c>
      <c r="H108" s="584" t="s">
        <v>2357</v>
      </c>
      <c r="I108" s="1358"/>
    </row>
    <row r="109" spans="1:9" ht="15.75" customHeight="1">
      <c r="A109" s="528"/>
      <c r="B109" s="528"/>
      <c r="C109" s="585" t="s">
        <v>2358</v>
      </c>
      <c r="D109" s="586">
        <f>'T201'!D87</f>
        <v>0</v>
      </c>
      <c r="E109" s="586">
        <f>'T201'!E87</f>
        <v>0</v>
      </c>
      <c r="F109" s="586">
        <f>'T201'!F87</f>
        <v>0</v>
      </c>
      <c r="G109" s="586">
        <f>'T201'!G87</f>
        <v>0</v>
      </c>
      <c r="H109" s="586">
        <f>'T201'!H87</f>
        <v>0</v>
      </c>
      <c r="I109" s="587">
        <f>SUM(D109:H109)</f>
        <v>0</v>
      </c>
    </row>
    <row r="110" spans="1:9" ht="15.75" customHeight="1">
      <c r="A110" s="528"/>
      <c r="B110" s="528"/>
      <c r="C110" s="588" t="s">
        <v>2359</v>
      </c>
      <c r="D110" s="586">
        <f>'T201'!D88</f>
        <v>0</v>
      </c>
      <c r="E110" s="586">
        <f>'T201'!E88</f>
        <v>0</v>
      </c>
      <c r="F110" s="586">
        <f>'T201'!F88</f>
        <v>0</v>
      </c>
      <c r="G110" s="586">
        <f>'T201'!G88</f>
        <v>0</v>
      </c>
      <c r="H110" s="586">
        <f>'T201'!H88</f>
        <v>0</v>
      </c>
      <c r="I110" s="587">
        <f>SUM(D110:H110)</f>
        <v>0</v>
      </c>
    </row>
    <row r="111" spans="1:9" ht="15.75" customHeight="1">
      <c r="A111" s="528"/>
      <c r="B111" s="528"/>
      <c r="C111" s="588" t="s">
        <v>2351</v>
      </c>
      <c r="D111" s="586">
        <f t="shared" ref="D111:I111" si="5">SUM(D109:D110)</f>
        <v>0</v>
      </c>
      <c r="E111" s="586">
        <f t="shared" si="5"/>
        <v>0</v>
      </c>
      <c r="F111" s="586">
        <f t="shared" si="5"/>
        <v>0</v>
      </c>
      <c r="G111" s="586">
        <f t="shared" si="5"/>
        <v>0</v>
      </c>
      <c r="H111" s="586">
        <f t="shared" si="5"/>
        <v>0</v>
      </c>
      <c r="I111" s="587">
        <f t="shared" si="5"/>
        <v>0</v>
      </c>
    </row>
    <row r="112" spans="1:9" ht="15.75" customHeight="1">
      <c r="A112" s="528"/>
      <c r="B112" s="528"/>
      <c r="C112" s="530"/>
      <c r="D112" s="598"/>
      <c r="E112" s="532"/>
      <c r="H112" s="532" t="s">
        <v>2477</v>
      </c>
      <c r="I112" s="629">
        <f>'T201'!H89</f>
        <v>0</v>
      </c>
    </row>
    <row r="113" spans="1:9" ht="15.75" customHeight="1">
      <c r="A113" s="528"/>
      <c r="B113" s="528"/>
      <c r="C113" s="530"/>
      <c r="D113" s="598"/>
      <c r="E113" s="532"/>
      <c r="H113" s="532"/>
      <c r="I113" s="532" t="b">
        <f>I111=I112</f>
        <v>1</v>
      </c>
    </row>
    <row r="114" spans="1:9" ht="15.75" customHeight="1">
      <c r="A114" s="528"/>
      <c r="B114" s="528" t="s">
        <v>1343</v>
      </c>
      <c r="C114" s="598" t="s">
        <v>2474</v>
      </c>
      <c r="D114" s="598"/>
      <c r="E114" s="532"/>
      <c r="F114" s="532"/>
      <c r="G114" s="532"/>
      <c r="H114" s="532"/>
    </row>
    <row r="115" spans="1:9" ht="15.75" customHeight="1">
      <c r="A115" s="528"/>
      <c r="B115" s="528"/>
      <c r="C115" s="590" t="s">
        <v>2448</v>
      </c>
      <c r="D115" s="513"/>
      <c r="E115" s="563" t="s">
        <v>2475</v>
      </c>
      <c r="F115" s="570"/>
      <c r="G115" s="570"/>
      <c r="H115" s="570"/>
    </row>
    <row r="116" spans="1:9" ht="15.75" customHeight="1">
      <c r="A116" s="528"/>
      <c r="B116" s="528"/>
      <c r="C116" s="564" t="s">
        <v>2476</v>
      </c>
      <c r="D116" s="521"/>
      <c r="E116" s="566">
        <f>I111</f>
        <v>0</v>
      </c>
      <c r="F116" s="532"/>
      <c r="G116" s="532"/>
      <c r="H116" s="532"/>
    </row>
    <row r="117" spans="1:9" ht="15.75" customHeight="1">
      <c r="A117" s="528"/>
      <c r="B117" s="528"/>
      <c r="C117" s="564" t="s">
        <v>2478</v>
      </c>
      <c r="D117" s="521"/>
      <c r="E117" s="566">
        <f>'T201'!$D$91</f>
        <v>0</v>
      </c>
      <c r="F117" s="532"/>
      <c r="G117" s="532"/>
      <c r="H117" s="532"/>
    </row>
    <row r="118" spans="1:9" ht="15.75" customHeight="1">
      <c r="A118" s="528"/>
      <c r="B118" s="528"/>
      <c r="C118" s="564" t="s">
        <v>2479</v>
      </c>
      <c r="D118" s="521"/>
      <c r="E118" s="566">
        <f>E116-E117</f>
        <v>0</v>
      </c>
      <c r="F118" s="598"/>
      <c r="G118" s="598"/>
      <c r="H118" s="598"/>
    </row>
    <row r="119" spans="1:9" ht="15.75" customHeight="1">
      <c r="A119" s="528"/>
      <c r="B119" s="528"/>
      <c r="C119" s="564" t="s">
        <v>2480</v>
      </c>
      <c r="D119" s="580" t="s">
        <v>2482</v>
      </c>
      <c r="E119" s="577">
        <f>H109</f>
        <v>0</v>
      </c>
      <c r="F119" s="532"/>
      <c r="G119" s="532"/>
      <c r="H119" s="532"/>
    </row>
    <row r="120" spans="1:9" ht="15.75" customHeight="1">
      <c r="A120" s="528"/>
      <c r="B120" s="528"/>
      <c r="C120" s="579"/>
      <c r="D120" s="580" t="s">
        <v>2481</v>
      </c>
      <c r="E120" s="577">
        <f>H111</f>
        <v>0</v>
      </c>
      <c r="F120" s="532"/>
      <c r="G120" s="532"/>
      <c r="H120" s="532"/>
    </row>
    <row r="121" spans="1:9" ht="15.75" customHeight="1">
      <c r="A121" s="528"/>
      <c r="B121" s="528"/>
      <c r="C121" s="564" t="s">
        <v>2483</v>
      </c>
      <c r="D121" s="580" t="s">
        <v>2482</v>
      </c>
      <c r="E121" s="577">
        <f>G109</f>
        <v>0</v>
      </c>
      <c r="F121" s="532"/>
      <c r="G121" s="532"/>
      <c r="H121" s="532"/>
    </row>
    <row r="122" spans="1:9" ht="15.75" customHeight="1">
      <c r="A122" s="528"/>
      <c r="B122" s="528"/>
      <c r="C122" s="579"/>
      <c r="D122" s="580" t="s">
        <v>2481</v>
      </c>
      <c r="E122" s="577">
        <f>G111</f>
        <v>0</v>
      </c>
      <c r="F122" s="532"/>
      <c r="G122" s="532"/>
      <c r="H122" s="532"/>
    </row>
    <row r="123" spans="1:9" ht="15.75" customHeight="1">
      <c r="A123" s="528"/>
      <c r="B123" s="528"/>
      <c r="C123" s="564" t="s">
        <v>2484</v>
      </c>
      <c r="D123" s="580" t="s">
        <v>2482</v>
      </c>
      <c r="E123" s="577">
        <f>E109</f>
        <v>0</v>
      </c>
      <c r="F123" s="532"/>
      <c r="G123" s="532"/>
      <c r="H123" s="532"/>
    </row>
    <row r="124" spans="1:9" ht="15.75" customHeight="1">
      <c r="A124" s="528"/>
      <c r="B124" s="528"/>
      <c r="C124" s="579"/>
      <c r="D124" s="580" t="s">
        <v>2481</v>
      </c>
      <c r="E124" s="577">
        <f>E111</f>
        <v>0</v>
      </c>
      <c r="F124" s="532"/>
      <c r="G124" s="532"/>
      <c r="H124" s="532"/>
    </row>
    <row r="125" spans="1:9" ht="15.75" customHeight="1">
      <c r="A125" s="528"/>
      <c r="B125" s="528"/>
      <c r="C125" s="564" t="s">
        <v>2485</v>
      </c>
      <c r="D125" s="580"/>
      <c r="E125" s="577">
        <f>E119+E121+E123</f>
        <v>0</v>
      </c>
      <c r="F125" s="532"/>
      <c r="G125" s="532"/>
      <c r="H125" s="532"/>
    </row>
    <row r="126" spans="1:9" ht="15.75" customHeight="1">
      <c r="A126" s="528"/>
      <c r="B126" s="528"/>
      <c r="C126" s="564" t="s">
        <v>2486</v>
      </c>
      <c r="D126" s="580"/>
      <c r="E126" s="577">
        <f>E117+E125</f>
        <v>0</v>
      </c>
      <c r="F126" s="532"/>
      <c r="G126" s="532"/>
      <c r="H126" s="532"/>
    </row>
    <row r="127" spans="1:9" ht="15.75" customHeight="1">
      <c r="A127" s="528"/>
      <c r="B127" s="528"/>
      <c r="C127" s="530"/>
      <c r="D127" s="598"/>
      <c r="E127" s="532"/>
      <c r="F127" s="532"/>
      <c r="G127" s="532"/>
      <c r="H127" s="532"/>
    </row>
    <row r="128" spans="1:9" ht="15.75" customHeight="1">
      <c r="A128" s="528"/>
      <c r="B128" s="528" t="s">
        <v>1348</v>
      </c>
      <c r="C128" s="598" t="s">
        <v>2491</v>
      </c>
      <c r="D128" s="598"/>
      <c r="E128" s="532"/>
      <c r="F128" s="532"/>
      <c r="G128" s="532"/>
      <c r="H128" s="532"/>
    </row>
    <row r="129" spans="1:8" ht="15.75" customHeight="1">
      <c r="A129" s="528"/>
      <c r="B129" s="528"/>
      <c r="C129" s="598" t="s">
        <v>2495</v>
      </c>
      <c r="D129" s="598">
        <f>'T201'!$D$96</f>
        <v>12</v>
      </c>
      <c r="E129" s="532"/>
      <c r="F129" s="532"/>
      <c r="G129" s="532"/>
      <c r="H129" s="532"/>
    </row>
    <row r="130" spans="1:8" ht="15.75" customHeight="1">
      <c r="A130" s="528"/>
      <c r="B130" s="528"/>
      <c r="C130" s="530"/>
      <c r="D130" s="598"/>
      <c r="E130" s="532"/>
      <c r="F130" s="532"/>
      <c r="G130" s="532"/>
      <c r="H130" s="532"/>
    </row>
    <row r="131" spans="1:8" ht="15.75" customHeight="1">
      <c r="A131" s="528"/>
      <c r="B131" s="528"/>
      <c r="C131" s="598" t="s">
        <v>2501</v>
      </c>
      <c r="D131" s="598"/>
      <c r="E131" s="532"/>
      <c r="F131" s="532"/>
      <c r="G131" s="532"/>
      <c r="H131" s="532"/>
    </row>
    <row r="132" spans="1:8" ht="15.75" customHeight="1">
      <c r="A132" s="528"/>
      <c r="B132" s="528"/>
      <c r="C132" s="599" t="s">
        <v>636</v>
      </c>
      <c r="D132" s="600" t="s">
        <v>2502</v>
      </c>
      <c r="E132" s="563" t="s">
        <v>2503</v>
      </c>
      <c r="F132" s="532"/>
      <c r="G132" s="532"/>
      <c r="H132" s="532"/>
    </row>
    <row r="133" spans="1:8" ht="15.75" customHeight="1">
      <c r="A133" s="528"/>
      <c r="B133" s="528"/>
      <c r="C133" s="579">
        <v>0</v>
      </c>
      <c r="D133" s="553">
        <v>2E-3</v>
      </c>
      <c r="E133" s="592"/>
      <c r="F133" s="532"/>
      <c r="G133" s="532"/>
      <c r="H133" s="532"/>
    </row>
    <row r="134" spans="1:8" ht="15.75" customHeight="1">
      <c r="A134" s="528"/>
      <c r="B134" s="528"/>
      <c r="C134" s="579">
        <v>10000000000</v>
      </c>
      <c r="D134" s="553">
        <f>10/10000</f>
        <v>1E-3</v>
      </c>
      <c r="E134" s="592">
        <f>C134*D133</f>
        <v>20000000</v>
      </c>
      <c r="F134" s="532"/>
      <c r="G134" s="532"/>
      <c r="H134" s="532"/>
    </row>
    <row r="135" spans="1:8" ht="15.75" customHeight="1">
      <c r="A135" s="528"/>
      <c r="B135" s="528"/>
      <c r="C135" s="579">
        <v>50000000000</v>
      </c>
      <c r="D135" s="553">
        <f>3/10000</f>
        <v>2.9999999999999997E-4</v>
      </c>
      <c r="E135" s="592">
        <f>(C135-C134)*D134</f>
        <v>40000000</v>
      </c>
      <c r="F135" s="532"/>
      <c r="G135" s="532"/>
      <c r="H135" s="532"/>
    </row>
    <row r="136" spans="1:8" ht="15.75" customHeight="1">
      <c r="A136" s="528"/>
      <c r="B136" s="528"/>
      <c r="C136" s="530"/>
      <c r="D136" s="572"/>
      <c r="E136" s="532"/>
      <c r="F136" s="532"/>
      <c r="G136" s="532"/>
      <c r="H136" s="532" t="s">
        <v>2514</v>
      </c>
    </row>
    <row r="137" spans="1:8" ht="15.75" customHeight="1">
      <c r="A137" s="528"/>
      <c r="B137" s="528"/>
      <c r="C137" s="590" t="s">
        <v>636</v>
      </c>
      <c r="D137" s="603"/>
      <c r="E137" s="554" t="s">
        <v>715</v>
      </c>
      <c r="F137" s="532"/>
      <c r="G137" s="532"/>
      <c r="H137" s="532"/>
    </row>
    <row r="138" spans="1:8" ht="15.75" customHeight="1">
      <c r="A138" s="528"/>
      <c r="B138" s="528"/>
      <c r="C138" s="564" t="s">
        <v>2496</v>
      </c>
      <c r="D138" s="580"/>
      <c r="E138" s="577">
        <f>IF('T201'!$D$95=1,(18000000*D129/12),(12000000*D129/12))</f>
        <v>18000000</v>
      </c>
      <c r="G138" s="532"/>
      <c r="H138" s="532"/>
    </row>
    <row r="139" spans="1:8" ht="15.75" customHeight="1">
      <c r="A139" s="528"/>
      <c r="B139" s="528"/>
      <c r="C139" s="564" t="s">
        <v>2497</v>
      </c>
      <c r="D139" s="580" t="s">
        <v>2498</v>
      </c>
      <c r="E139" s="577">
        <f>IF($F$104&gt;$C$134,$E$134,$F$104*$D$133)</f>
        <v>0</v>
      </c>
      <c r="F139" s="532"/>
      <c r="G139" s="532"/>
      <c r="H139" s="532"/>
    </row>
    <row r="140" spans="1:8" ht="15.75" customHeight="1">
      <c r="A140" s="528"/>
      <c r="B140" s="528"/>
      <c r="C140" s="579"/>
      <c r="D140" s="580" t="s">
        <v>2499</v>
      </c>
      <c r="E140" s="577">
        <f>IF($F$104&lt;$C$134,0,IF($F$104&gt;$C$135,$E$135,($F$104-$C$134)*$D$134))</f>
        <v>0</v>
      </c>
      <c r="F140" s="532"/>
      <c r="G140" s="532"/>
      <c r="H140" s="532"/>
    </row>
    <row r="141" spans="1:8" ht="15.75" customHeight="1">
      <c r="A141" s="528"/>
      <c r="B141" s="528"/>
      <c r="C141" s="579"/>
      <c r="D141" s="580" t="s">
        <v>2500</v>
      </c>
      <c r="E141" s="577">
        <f>IF($F$104&gt;$C$135,($F$104-$C$135)*$D$135,0)</f>
        <v>0</v>
      </c>
      <c r="F141" s="532"/>
      <c r="G141" s="532"/>
      <c r="H141" s="532"/>
    </row>
    <row r="142" spans="1:8" ht="15.75" customHeight="1">
      <c r="A142" s="528"/>
      <c r="B142" s="528"/>
      <c r="C142" s="564" t="s">
        <v>2505</v>
      </c>
      <c r="D142" s="580" t="s">
        <v>2498</v>
      </c>
      <c r="E142" s="577">
        <f>IF($D$104&gt;$C$134,$E$134,$D$104*$D$133)</f>
        <v>0</v>
      </c>
      <c r="F142" s="532"/>
      <c r="G142" s="532"/>
      <c r="H142" s="532"/>
    </row>
    <row r="143" spans="1:8" ht="15.75" customHeight="1">
      <c r="A143" s="528"/>
      <c r="B143" s="528"/>
      <c r="C143" s="579"/>
      <c r="D143" s="580" t="s">
        <v>2499</v>
      </c>
      <c r="E143" s="577">
        <f>IF($D$104&lt;$C$134,0,IF($D$104&gt;$C$135,$E$135,($D$104-$C$134)*$D$134))</f>
        <v>0</v>
      </c>
      <c r="F143" s="532"/>
      <c r="G143" s="532"/>
      <c r="H143" s="532"/>
    </row>
    <row r="144" spans="1:8" ht="15.75" customHeight="1">
      <c r="A144" s="528"/>
      <c r="B144" s="528"/>
      <c r="C144" s="579"/>
      <c r="D144" s="580" t="s">
        <v>2500</v>
      </c>
      <c r="E144" s="577">
        <f>IF($D$104&gt;$C$135,($D$104-$C$135)*$D$135,0)</f>
        <v>0</v>
      </c>
      <c r="F144" s="532"/>
      <c r="G144" s="532"/>
      <c r="H144" s="532"/>
    </row>
    <row r="145" spans="1:8" ht="15.75" customHeight="1">
      <c r="A145" s="528"/>
      <c r="B145" s="528"/>
      <c r="C145" s="564" t="s">
        <v>2506</v>
      </c>
      <c r="D145" s="580"/>
      <c r="E145" s="577">
        <f>ROUND((SUM($E$139:$E$141)-SUM($E$142:$E$144))*20/100,0)</f>
        <v>0</v>
      </c>
      <c r="F145" s="532"/>
      <c r="G145" s="532"/>
      <c r="H145" s="532"/>
    </row>
    <row r="146" spans="1:8" ht="15.75" customHeight="1">
      <c r="A146" s="528"/>
      <c r="B146" s="528"/>
      <c r="C146" s="564" t="s">
        <v>2508</v>
      </c>
      <c r="D146" s="580" t="s">
        <v>2507</v>
      </c>
      <c r="E146" s="577">
        <f>'T201'!$D$97</f>
        <v>0</v>
      </c>
      <c r="F146" s="532"/>
      <c r="G146" s="532"/>
      <c r="H146" s="532"/>
    </row>
    <row r="147" spans="1:8" ht="15.75" customHeight="1">
      <c r="A147" s="528"/>
      <c r="B147" s="528"/>
      <c r="C147" s="579"/>
      <c r="D147" s="580" t="s">
        <v>2509</v>
      </c>
      <c r="E147" s="577">
        <f>E118</f>
        <v>0</v>
      </c>
      <c r="F147" s="532"/>
      <c r="G147" s="532"/>
      <c r="H147" s="532"/>
    </row>
    <row r="148" spans="1:8" ht="15.75" customHeight="1">
      <c r="A148" s="528"/>
      <c r="B148" s="528"/>
      <c r="C148" s="579"/>
      <c r="D148" s="580" t="s">
        <v>2508</v>
      </c>
      <c r="E148" s="577">
        <f>IF((E146-(E147*3/100))&lt;0,0,(E146-(E147*3/100)))</f>
        <v>0</v>
      </c>
      <c r="F148" s="532"/>
      <c r="G148" s="532"/>
      <c r="H148" s="532"/>
    </row>
    <row r="149" spans="1:8" ht="15.75" customHeight="1">
      <c r="A149" s="528"/>
      <c r="B149" s="528"/>
      <c r="C149" s="564" t="s">
        <v>2510</v>
      </c>
      <c r="D149" s="580"/>
      <c r="E149" s="577">
        <f>SUM($E$138,$E$142:$E$145)</f>
        <v>18000000</v>
      </c>
      <c r="F149" s="532"/>
      <c r="G149" s="532"/>
      <c r="H149" s="532"/>
    </row>
    <row r="150" spans="1:8" ht="15.75" customHeight="1">
      <c r="A150" s="528"/>
      <c r="B150" s="528"/>
      <c r="C150" s="564" t="s">
        <v>2511</v>
      </c>
      <c r="D150" s="580"/>
      <c r="E150" s="577">
        <f>$E$118</f>
        <v>0</v>
      </c>
      <c r="F150" s="532"/>
      <c r="G150" s="532"/>
      <c r="H150" s="532"/>
    </row>
    <row r="151" spans="1:8" ht="15.75" customHeight="1">
      <c r="A151" s="528"/>
      <c r="B151" s="528"/>
      <c r="C151" s="606" t="s">
        <v>2516</v>
      </c>
      <c r="D151" s="607"/>
      <c r="E151" s="608">
        <f>$E$125</f>
        <v>0</v>
      </c>
      <c r="F151" s="532"/>
      <c r="G151" s="532"/>
      <c r="H151" s="532"/>
    </row>
    <row r="152" spans="1:8" ht="15.75" customHeight="1">
      <c r="A152" s="528"/>
      <c r="B152" s="528"/>
      <c r="C152" s="564" t="s">
        <v>2512</v>
      </c>
      <c r="D152" s="580"/>
      <c r="E152" s="577">
        <f>E150-E151</f>
        <v>0</v>
      </c>
      <c r="F152" s="532"/>
      <c r="G152" s="532"/>
      <c r="H152" s="532"/>
    </row>
    <row r="153" spans="1:8" ht="15.75" customHeight="1">
      <c r="A153" s="528"/>
      <c r="B153" s="528"/>
      <c r="C153" s="606" t="s">
        <v>2515</v>
      </c>
      <c r="D153" s="607"/>
      <c r="E153" s="608">
        <f>IF((E152-E149)&lt;0,0,(E152-E149))</f>
        <v>0</v>
      </c>
      <c r="F153" s="532"/>
      <c r="G153" s="532"/>
      <c r="H153" s="532"/>
    </row>
    <row r="154" spans="1:8" ht="15.75" customHeight="1">
      <c r="A154" s="528"/>
      <c r="B154" s="528"/>
      <c r="C154" s="564" t="s">
        <v>2513</v>
      </c>
      <c r="D154" s="580"/>
      <c r="E154" s="577">
        <f>E152-E153</f>
        <v>0</v>
      </c>
      <c r="F154" s="532"/>
      <c r="G154" s="532"/>
      <c r="H154" s="532"/>
    </row>
    <row r="155" spans="1:8" ht="15.75" customHeight="1">
      <c r="A155" s="528"/>
      <c r="B155" s="528"/>
      <c r="C155" s="530"/>
      <c r="D155" s="598"/>
      <c r="E155" s="532"/>
      <c r="F155" s="532"/>
      <c r="G155" s="532"/>
      <c r="H155" s="532"/>
    </row>
    <row r="156" spans="1:8" ht="15.75" customHeight="1">
      <c r="A156" s="528"/>
      <c r="B156" s="528"/>
      <c r="C156" s="530"/>
      <c r="D156" s="598"/>
      <c r="E156" s="532"/>
      <c r="F156" s="532"/>
      <c r="G156" s="532"/>
      <c r="H156" s="532"/>
    </row>
    <row r="157" spans="1:8" ht="15.75" customHeight="1">
      <c r="A157" s="528" t="s">
        <v>1360</v>
      </c>
      <c r="B157" s="506" t="s">
        <v>2536</v>
      </c>
      <c r="C157" s="530"/>
      <c r="D157" s="598"/>
      <c r="E157" s="532"/>
      <c r="F157" s="532"/>
      <c r="G157" s="532"/>
      <c r="H157" s="532"/>
    </row>
    <row r="158" spans="1:8" ht="15.75" customHeight="1">
      <c r="A158" s="528"/>
      <c r="B158" s="528" t="s">
        <v>2594</v>
      </c>
      <c r="C158" s="598" t="s">
        <v>2595</v>
      </c>
      <c r="D158" s="598"/>
      <c r="E158" s="532"/>
      <c r="F158" s="532"/>
      <c r="G158" s="532"/>
      <c r="H158" s="532"/>
    </row>
    <row r="159" spans="1:8" ht="15.75" customHeight="1">
      <c r="A159" s="528"/>
      <c r="B159" s="528"/>
      <c r="C159" s="599" t="s">
        <v>2349</v>
      </c>
      <c r="D159" s="600" t="s">
        <v>2345</v>
      </c>
      <c r="E159" s="554" t="s">
        <v>2597</v>
      </c>
      <c r="F159" s="554" t="s">
        <v>2352</v>
      </c>
      <c r="G159" s="532"/>
      <c r="H159" s="532"/>
    </row>
    <row r="160" spans="1:8" ht="15.75" customHeight="1">
      <c r="A160" s="528"/>
      <c r="B160" s="528"/>
      <c r="C160" s="564" t="s">
        <v>2610</v>
      </c>
      <c r="D160" s="580">
        <f>'T201'!D103</f>
        <v>0</v>
      </c>
      <c r="E160" s="577" t="s">
        <v>2612</v>
      </c>
      <c r="F160" s="646">
        <v>1</v>
      </c>
      <c r="G160" s="532"/>
      <c r="H160" s="532"/>
    </row>
    <row r="161" spans="1:8" ht="15.75" customHeight="1">
      <c r="A161" s="528"/>
      <c r="B161" s="528"/>
      <c r="C161" s="564" t="s">
        <v>2636</v>
      </c>
      <c r="D161" s="580">
        <f>'T201'!D104</f>
        <v>0</v>
      </c>
      <c r="E161" s="577" t="s">
        <v>2598</v>
      </c>
      <c r="F161" s="646">
        <v>0.5</v>
      </c>
      <c r="G161" s="532"/>
      <c r="H161" s="532"/>
    </row>
    <row r="162" spans="1:8" ht="15.75" customHeight="1">
      <c r="A162" s="528"/>
      <c r="B162" s="528"/>
      <c r="C162" s="564" t="s">
        <v>2638</v>
      </c>
      <c r="D162" s="580">
        <f>'T201'!D105</f>
        <v>0</v>
      </c>
      <c r="E162" s="577" t="s">
        <v>2613</v>
      </c>
      <c r="F162" s="646">
        <v>0.5</v>
      </c>
      <c r="G162" s="532"/>
      <c r="H162" s="532"/>
    </row>
    <row r="163" spans="1:8" ht="15.75" customHeight="1">
      <c r="A163" s="528"/>
      <c r="B163" s="528"/>
      <c r="C163" s="564" t="s">
        <v>2640</v>
      </c>
      <c r="D163" s="580">
        <f>'T201'!D106</f>
        <v>0</v>
      </c>
      <c r="E163" s="577" t="s">
        <v>2599</v>
      </c>
      <c r="F163" s="646">
        <v>0.05</v>
      </c>
      <c r="G163" s="532"/>
      <c r="H163" s="532"/>
    </row>
    <row r="164" spans="1:8" ht="15.75" customHeight="1">
      <c r="A164" s="528"/>
      <c r="B164" s="528"/>
      <c r="C164" s="564" t="s">
        <v>2642</v>
      </c>
      <c r="D164" s="580">
        <f>'T201'!D107</f>
        <v>0</v>
      </c>
      <c r="E164" s="577" t="s">
        <v>2600</v>
      </c>
      <c r="F164" s="646"/>
      <c r="G164" s="532"/>
      <c r="H164" s="532"/>
    </row>
    <row r="165" spans="1:8" ht="15.75" customHeight="1">
      <c r="A165" s="528"/>
      <c r="B165" s="528"/>
      <c r="C165" s="564" t="s">
        <v>2351</v>
      </c>
      <c r="D165" s="580">
        <f>SUM(D161:D164)</f>
        <v>0</v>
      </c>
      <c r="E165" s="577"/>
      <c r="F165" s="577"/>
      <c r="G165" s="532"/>
      <c r="H165" s="532"/>
    </row>
    <row r="166" spans="1:8" ht="15.75" customHeight="1">
      <c r="A166" s="528"/>
      <c r="B166" s="528"/>
      <c r="C166" s="530"/>
      <c r="D166" s="598"/>
      <c r="E166" s="532"/>
      <c r="F166" s="532"/>
      <c r="G166" s="532"/>
      <c r="H166" s="532"/>
    </row>
    <row r="167" spans="1:8" ht="15.75" customHeight="1">
      <c r="A167" s="528"/>
      <c r="B167" s="528" t="s">
        <v>2617</v>
      </c>
      <c r="C167" s="598" t="s">
        <v>2618</v>
      </c>
      <c r="D167" s="598"/>
      <c r="E167" s="532"/>
      <c r="F167" s="532"/>
      <c r="G167" s="532"/>
      <c r="H167" s="532"/>
    </row>
    <row r="168" spans="1:8" ht="15.75" customHeight="1">
      <c r="A168" s="528"/>
      <c r="B168" s="528"/>
      <c r="C168" s="599" t="s">
        <v>2349</v>
      </c>
      <c r="D168" s="600" t="s">
        <v>2619</v>
      </c>
      <c r="E168" s="601" t="s">
        <v>2620</v>
      </c>
      <c r="F168" s="554" t="s">
        <v>2621</v>
      </c>
      <c r="G168" s="554" t="s">
        <v>2623</v>
      </c>
      <c r="H168" s="554" t="s">
        <v>2622</v>
      </c>
    </row>
    <row r="169" spans="1:8" ht="15.75" customHeight="1">
      <c r="A169" s="528"/>
      <c r="B169" s="528"/>
      <c r="C169" s="564" t="s">
        <v>2610</v>
      </c>
      <c r="D169" s="580">
        <f>'T201'!D112</f>
        <v>0</v>
      </c>
      <c r="E169" s="580">
        <f>'T201'!E112</f>
        <v>0</v>
      </c>
      <c r="F169" s="566">
        <f>D169-E169</f>
        <v>0</v>
      </c>
      <c r="G169" s="566" t="b">
        <f>F178</f>
        <v>0</v>
      </c>
      <c r="H169" s="566">
        <f>F169-G169</f>
        <v>0</v>
      </c>
    </row>
    <row r="170" spans="1:8" ht="15.75" customHeight="1">
      <c r="A170" s="528"/>
      <c r="B170" s="528"/>
      <c r="C170" s="564" t="s">
        <v>2616</v>
      </c>
      <c r="D170" s="580">
        <f>'T201'!D113</f>
        <v>0</v>
      </c>
      <c r="E170" s="580">
        <f>'T201'!E113</f>
        <v>0</v>
      </c>
      <c r="F170" s="566">
        <f t="shared" ref="F170:H171" si="6">D170-E170</f>
        <v>0</v>
      </c>
      <c r="G170" s="566" t="b">
        <f>F184</f>
        <v>0</v>
      </c>
      <c r="H170" s="566">
        <f t="shared" si="6"/>
        <v>0</v>
      </c>
    </row>
    <row r="171" spans="1:8" ht="15.75" customHeight="1">
      <c r="A171" s="528"/>
      <c r="B171" s="528"/>
      <c r="C171" s="564" t="s">
        <v>2596</v>
      </c>
      <c r="D171" s="580">
        <f>'T201'!D114</f>
        <v>0</v>
      </c>
      <c r="E171" s="580">
        <f>'T201'!E114</f>
        <v>0</v>
      </c>
      <c r="F171" s="566">
        <f t="shared" si="6"/>
        <v>0</v>
      </c>
      <c r="G171" s="566">
        <f>F191</f>
        <v>0</v>
      </c>
      <c r="H171" s="566">
        <f t="shared" si="6"/>
        <v>0</v>
      </c>
    </row>
    <row r="172" spans="1:8" ht="15.75" customHeight="1">
      <c r="A172" s="528"/>
      <c r="B172" s="528"/>
      <c r="C172" s="564" t="s">
        <v>2351</v>
      </c>
      <c r="D172" s="580">
        <f>SUM(D169:D171)</f>
        <v>0</v>
      </c>
      <c r="E172" s="580">
        <f t="shared" ref="E172:H172" si="7">SUM(E169:E171)</f>
        <v>0</v>
      </c>
      <c r="F172" s="566">
        <f t="shared" si="7"/>
        <v>0</v>
      </c>
      <c r="G172" s="566">
        <f t="shared" si="7"/>
        <v>0</v>
      </c>
      <c r="H172" s="566">
        <f t="shared" si="7"/>
        <v>0</v>
      </c>
    </row>
    <row r="173" spans="1:8" ht="15.75" customHeight="1">
      <c r="A173" s="528"/>
      <c r="B173" s="528"/>
      <c r="C173" s="530"/>
      <c r="D173" s="598"/>
      <c r="E173" s="532"/>
      <c r="F173" s="532"/>
      <c r="G173" s="532"/>
      <c r="H173" s="532"/>
    </row>
    <row r="174" spans="1:8" ht="15.75" customHeight="1">
      <c r="A174" s="528"/>
      <c r="B174" s="528" t="s">
        <v>2615</v>
      </c>
      <c r="C174" s="598" t="s">
        <v>2603</v>
      </c>
      <c r="D174" s="598"/>
      <c r="E174" s="532"/>
      <c r="F174" s="532"/>
      <c r="G174" s="532"/>
      <c r="H174" s="532"/>
    </row>
    <row r="175" spans="1:8" ht="15.75" customHeight="1">
      <c r="A175" s="528"/>
      <c r="B175" s="528"/>
      <c r="C175" s="530" t="s">
        <v>2608</v>
      </c>
      <c r="D175" s="598"/>
      <c r="E175" s="532"/>
      <c r="F175" s="532"/>
      <c r="G175" s="532"/>
      <c r="H175" s="532"/>
    </row>
    <row r="176" spans="1:8" ht="15.75" customHeight="1">
      <c r="A176" s="528"/>
      <c r="B176" s="528"/>
      <c r="C176" s="599" t="s">
        <v>2349</v>
      </c>
      <c r="D176" s="600" t="s">
        <v>2604</v>
      </c>
      <c r="E176" s="600" t="s">
        <v>2349</v>
      </c>
      <c r="F176" s="563" t="s">
        <v>2604</v>
      </c>
      <c r="G176" s="532"/>
      <c r="H176" s="532"/>
    </row>
    <row r="177" spans="1:8" ht="15.75" customHeight="1">
      <c r="A177" s="528"/>
      <c r="B177" s="528"/>
      <c r="C177" s="564" t="s">
        <v>2605</v>
      </c>
      <c r="D177" s="580">
        <f>'T(세무조정)'!E25+SUM($D$160:$D$163)</f>
        <v>-268590723</v>
      </c>
      <c r="E177" s="647" t="s">
        <v>2634</v>
      </c>
      <c r="F177" s="608">
        <f>MIN(D179,D180)</f>
        <v>0</v>
      </c>
      <c r="G177" s="532"/>
      <c r="H177" s="532"/>
    </row>
    <row r="178" spans="1:8" ht="15.75" customHeight="1">
      <c r="A178" s="528"/>
      <c r="B178" s="528"/>
      <c r="C178" s="564" t="s">
        <v>2606</v>
      </c>
      <c r="D178" s="580"/>
      <c r="E178" s="648" t="s">
        <v>2614</v>
      </c>
      <c r="F178" s="649" t="b">
        <f>IF($D$180&gt;$D$179,MIN(($D$180-$D$179),$F$169))</f>
        <v>0</v>
      </c>
      <c r="G178" s="532"/>
      <c r="H178" s="532"/>
    </row>
    <row r="179" spans="1:8" ht="15.75" customHeight="1">
      <c r="A179" s="528"/>
      <c r="B179" s="528"/>
      <c r="C179" s="564" t="s">
        <v>2607</v>
      </c>
      <c r="D179" s="580">
        <f>$D$160</f>
        <v>0</v>
      </c>
      <c r="E179" s="567" t="s">
        <v>2624</v>
      </c>
      <c r="F179" s="577">
        <f>D177-D178-F177-F178</f>
        <v>-268590723</v>
      </c>
      <c r="G179" s="532"/>
      <c r="H179" s="532"/>
    </row>
    <row r="180" spans="1:8" ht="15.75" customHeight="1">
      <c r="A180" s="528"/>
      <c r="B180" s="528"/>
      <c r="C180" s="564" t="s">
        <v>2609</v>
      </c>
      <c r="D180" s="580">
        <f>IF(($D$177-$D$178)&lt;0,0,($D$177-$D$178)*$F$160)</f>
        <v>0</v>
      </c>
      <c r="E180" s="567" t="s">
        <v>2625</v>
      </c>
      <c r="F180" s="577">
        <f>IF(($D$179-$D$180)&lt;0,0,($D$179-$D$180))</f>
        <v>0</v>
      </c>
      <c r="G180" s="532"/>
      <c r="H180" s="532"/>
    </row>
    <row r="181" spans="1:8" ht="15.75" customHeight="1">
      <c r="A181" s="528"/>
      <c r="B181" s="528"/>
      <c r="C181" s="530"/>
      <c r="D181" s="598"/>
      <c r="E181" s="532"/>
      <c r="F181" s="532"/>
      <c r="G181" s="532"/>
      <c r="H181" s="532"/>
    </row>
    <row r="182" spans="1:8" ht="15.75" customHeight="1">
      <c r="A182" s="528"/>
      <c r="B182" s="528"/>
      <c r="C182" s="530" t="s">
        <v>2626</v>
      </c>
      <c r="D182" s="598"/>
      <c r="E182" s="532"/>
      <c r="F182" s="532"/>
      <c r="G182" s="532"/>
      <c r="H182" s="532"/>
    </row>
    <row r="183" spans="1:8" ht="15.75" customHeight="1">
      <c r="A183" s="528"/>
      <c r="B183" s="528"/>
      <c r="C183" s="599" t="s">
        <v>2349</v>
      </c>
      <c r="D183" s="600" t="s">
        <v>2604</v>
      </c>
      <c r="E183" s="600" t="s">
        <v>2349</v>
      </c>
      <c r="F183" s="563" t="s">
        <v>2604</v>
      </c>
      <c r="G183" s="532"/>
      <c r="H183" s="532"/>
    </row>
    <row r="184" spans="1:8" ht="15.75" customHeight="1">
      <c r="A184" s="528"/>
      <c r="B184" s="528"/>
      <c r="C184" s="564" t="s">
        <v>2627</v>
      </c>
      <c r="D184" s="580">
        <f>$D$161</f>
        <v>0</v>
      </c>
      <c r="E184" s="648" t="s">
        <v>2614</v>
      </c>
      <c r="F184" s="649" t="b">
        <f>IF($D$186&gt;SUM($D$184:$D$185),MIN(($D$186-$D$185-$D$184),$F$170))</f>
        <v>0</v>
      </c>
      <c r="G184" s="532"/>
      <c r="H184" s="532"/>
    </row>
    <row r="185" spans="1:8" ht="15.75" customHeight="1">
      <c r="A185" s="528"/>
      <c r="B185" s="528"/>
      <c r="C185" s="564" t="s">
        <v>2628</v>
      </c>
      <c r="D185" s="580">
        <f>$D$162</f>
        <v>0</v>
      </c>
      <c r="E185" s="521"/>
      <c r="F185" s="522"/>
      <c r="G185" s="532"/>
      <c r="H185" s="532"/>
    </row>
    <row r="186" spans="1:8" ht="15.75" customHeight="1">
      <c r="A186" s="528"/>
      <c r="B186" s="528"/>
      <c r="C186" s="564" t="s">
        <v>2609</v>
      </c>
      <c r="D186" s="580">
        <f>ROUNDDOWN($F$179*$F$161,0)</f>
        <v>-134295361</v>
      </c>
      <c r="E186" s="567" t="s">
        <v>2624</v>
      </c>
      <c r="F186" s="577">
        <f>F179-D187-F184</f>
        <v>-134295362</v>
      </c>
      <c r="G186" s="532"/>
      <c r="H186" s="532"/>
    </row>
    <row r="187" spans="1:8" ht="15.75" customHeight="1">
      <c r="A187" s="550"/>
      <c r="B187" s="550"/>
      <c r="C187" s="606" t="s">
        <v>2634</v>
      </c>
      <c r="D187" s="607">
        <f>MIN(SUM(D184:D185),D186)</f>
        <v>-134295361</v>
      </c>
      <c r="E187" s="567" t="s">
        <v>2625</v>
      </c>
      <c r="F187" s="577">
        <f>IF((D184+D185-D186)&lt;0,0,(D184+D185-D186))</f>
        <v>134295361</v>
      </c>
      <c r="G187" s="532"/>
      <c r="H187" s="532"/>
    </row>
    <row r="188" spans="1:8" ht="15.75" customHeight="1">
      <c r="A188" s="550"/>
      <c r="B188" s="550"/>
      <c r="C188" s="530"/>
      <c r="D188" s="598"/>
      <c r="E188" s="532"/>
      <c r="F188" s="532"/>
      <c r="G188" s="532"/>
      <c r="H188" s="532"/>
    </row>
    <row r="189" spans="1:8" ht="15.75" customHeight="1">
      <c r="A189" s="550"/>
      <c r="B189" s="550"/>
      <c r="C189" s="530" t="s">
        <v>2629</v>
      </c>
      <c r="D189" s="598"/>
      <c r="E189" s="532"/>
      <c r="F189" s="532"/>
      <c r="G189" s="532"/>
      <c r="H189" s="532"/>
    </row>
    <row r="190" spans="1:8" ht="15.75" customHeight="1">
      <c r="A190" s="550"/>
      <c r="B190" s="550"/>
      <c r="C190" s="599" t="s">
        <v>2349</v>
      </c>
      <c r="D190" s="600" t="s">
        <v>2604</v>
      </c>
      <c r="E190" s="600" t="s">
        <v>2349</v>
      </c>
      <c r="F190" s="563" t="s">
        <v>2604</v>
      </c>
      <c r="G190" s="532"/>
      <c r="H190" s="532"/>
    </row>
    <row r="191" spans="1:8" ht="15.75" customHeight="1">
      <c r="A191" s="550"/>
      <c r="B191" s="550"/>
      <c r="C191" s="564" t="s">
        <v>2630</v>
      </c>
      <c r="D191" s="580">
        <f>$D$163</f>
        <v>0</v>
      </c>
      <c r="E191" s="648" t="s">
        <v>2614</v>
      </c>
      <c r="F191" s="649">
        <f>IF($D$192&gt;$D$191,MIN(($D$192-$D$191),$F$171),0)</f>
        <v>0</v>
      </c>
      <c r="G191" s="532"/>
      <c r="H191" s="532"/>
    </row>
    <row r="192" spans="1:8" ht="15.75" customHeight="1">
      <c r="A192" s="550"/>
      <c r="B192" s="550"/>
      <c r="C192" s="564" t="s">
        <v>2609</v>
      </c>
      <c r="D192" s="580">
        <f>ROUNDDOWN($F$186*$F$163,0)</f>
        <v>-6714768</v>
      </c>
      <c r="E192" s="567"/>
      <c r="F192" s="577"/>
      <c r="G192" s="532"/>
      <c r="H192" s="532"/>
    </row>
    <row r="193" spans="1:8" ht="15.75" customHeight="1">
      <c r="A193" s="550"/>
      <c r="B193" s="550"/>
      <c r="C193" s="606" t="s">
        <v>2634</v>
      </c>
      <c r="D193" s="607">
        <f>MIN(SUM(D191:D191),D192)</f>
        <v>-6714768</v>
      </c>
      <c r="E193" s="567" t="s">
        <v>2625</v>
      </c>
      <c r="F193" s="577">
        <f>IF((D191-D192)&lt;0,0,(D191-D192))</f>
        <v>6714768</v>
      </c>
      <c r="G193" s="532"/>
      <c r="H193" s="532"/>
    </row>
    <row r="194" spans="1:8" ht="15.75" customHeight="1">
      <c r="A194" s="550"/>
      <c r="B194" s="550"/>
      <c r="C194" s="598"/>
      <c r="D194" s="598"/>
      <c r="E194" s="532"/>
      <c r="F194" s="532"/>
      <c r="G194" s="532"/>
      <c r="H194" s="532"/>
    </row>
    <row r="195" spans="1:8" ht="15.75" customHeight="1">
      <c r="A195" s="550"/>
      <c r="B195" s="550"/>
      <c r="C195" s="530" t="s">
        <v>2631</v>
      </c>
      <c r="D195" s="598"/>
      <c r="E195" s="532"/>
      <c r="F195" s="532"/>
      <c r="G195" s="532"/>
      <c r="H195" s="532"/>
    </row>
    <row r="196" spans="1:8" ht="15.75" customHeight="1">
      <c r="A196" s="550"/>
      <c r="B196" s="550"/>
      <c r="C196" s="599" t="s">
        <v>2632</v>
      </c>
      <c r="D196" s="600" t="s">
        <v>2633</v>
      </c>
      <c r="E196" s="554" t="s">
        <v>2635</v>
      </c>
      <c r="F196" s="532"/>
      <c r="G196" s="532"/>
      <c r="H196" s="532"/>
    </row>
    <row r="197" spans="1:8" ht="15.75" customHeight="1">
      <c r="A197" s="550"/>
      <c r="B197" s="550"/>
      <c r="C197" s="564">
        <f>D179+D184+D185+D191</f>
        <v>0</v>
      </c>
      <c r="D197" s="580">
        <f>SUM(F177,D187,D193)</f>
        <v>-141010129</v>
      </c>
      <c r="E197" s="577">
        <f>C197-D197</f>
        <v>141010129</v>
      </c>
      <c r="F197" s="532"/>
      <c r="G197" s="532"/>
      <c r="H197" s="532"/>
    </row>
    <row r="198" spans="1:8" ht="15.75" customHeight="1">
      <c r="A198" s="550"/>
      <c r="B198" s="550"/>
      <c r="C198" s="530"/>
      <c r="D198" s="598"/>
      <c r="E198" s="532"/>
      <c r="F198" s="532"/>
      <c r="G198" s="532"/>
      <c r="H198" s="532"/>
    </row>
    <row r="199" spans="1:8" ht="15.75" customHeight="1">
      <c r="A199" s="537"/>
      <c r="B199" s="537"/>
      <c r="C199" s="530"/>
      <c r="D199" s="598"/>
      <c r="E199" s="598"/>
      <c r="F199" s="598"/>
      <c r="G199" s="598"/>
      <c r="H199" s="532"/>
    </row>
    <row r="200" spans="1:8" ht="15.75" customHeight="1">
      <c r="A200" s="537"/>
      <c r="B200" s="537"/>
      <c r="C200" s="530"/>
      <c r="D200" s="598"/>
      <c r="E200" s="598"/>
      <c r="F200" s="598"/>
      <c r="G200" s="598"/>
      <c r="H200" s="532"/>
    </row>
    <row r="201" spans="1:8" ht="15.75" customHeight="1">
      <c r="A201" s="537"/>
      <c r="B201" s="537"/>
      <c r="C201" s="530"/>
      <c r="D201" s="598"/>
      <c r="E201" s="598"/>
      <c r="F201" s="598"/>
      <c r="G201" s="598"/>
      <c r="H201" s="532"/>
    </row>
    <row r="202" spans="1:8" ht="15.75" customHeight="1">
      <c r="A202" s="537"/>
      <c r="B202" s="537"/>
      <c r="C202" s="530"/>
      <c r="D202" s="598"/>
      <c r="E202" s="598"/>
      <c r="F202" s="598"/>
      <c r="G202" s="598"/>
      <c r="H202" s="532"/>
    </row>
    <row r="203" spans="1:8" ht="15.75" customHeight="1">
      <c r="A203" s="537"/>
      <c r="B203" s="537"/>
      <c r="C203" s="598"/>
      <c r="D203" s="598"/>
      <c r="E203" s="598"/>
      <c r="F203" s="598"/>
      <c r="G203" s="598"/>
      <c r="H203" s="532"/>
    </row>
    <row r="204" spans="1:8" ht="15.75" customHeight="1">
      <c r="A204" s="537"/>
      <c r="B204" s="537"/>
      <c r="C204" s="530"/>
      <c r="D204" s="598"/>
      <c r="E204" s="598"/>
      <c r="F204" s="598"/>
      <c r="G204" s="598"/>
      <c r="H204" s="532"/>
    </row>
    <row r="205" spans="1:8" ht="15.75" customHeight="1">
      <c r="A205" s="537"/>
      <c r="B205" s="537"/>
      <c r="C205" s="530"/>
      <c r="D205" s="598"/>
      <c r="E205" s="598"/>
      <c r="F205" s="598"/>
      <c r="G205" s="598"/>
      <c r="H205" s="532"/>
    </row>
    <row r="206" spans="1:8" ht="15.75" customHeight="1">
      <c r="A206" s="537"/>
      <c r="B206" s="537"/>
      <c r="C206" s="530"/>
      <c r="D206" s="598"/>
      <c r="E206" s="598"/>
      <c r="F206" s="598"/>
      <c r="G206" s="598"/>
      <c r="H206" s="532"/>
    </row>
    <row r="207" spans="1:8" ht="15.75" customHeight="1">
      <c r="A207" s="537"/>
      <c r="B207" s="537"/>
      <c r="C207" s="530"/>
      <c r="D207" s="598"/>
      <c r="E207" s="598"/>
      <c r="F207" s="598"/>
      <c r="G207" s="598"/>
      <c r="H207" s="532"/>
    </row>
    <row r="208" spans="1:8" ht="15.75" customHeight="1">
      <c r="A208" s="537"/>
      <c r="B208" s="537"/>
      <c r="C208" s="530"/>
      <c r="D208" s="598"/>
      <c r="E208" s="598"/>
      <c r="F208" s="598"/>
      <c r="G208" s="598"/>
      <c r="H208" s="532"/>
    </row>
    <row r="209" spans="1:8" ht="15.75" customHeight="1">
      <c r="A209" s="537"/>
      <c r="B209" s="537"/>
      <c r="C209" s="598"/>
      <c r="D209" s="598"/>
      <c r="E209" s="598"/>
      <c r="F209" s="598"/>
      <c r="G209" s="598"/>
      <c r="H209" s="532"/>
    </row>
    <row r="210" spans="1:8" ht="15.75" customHeight="1">
      <c r="A210" s="537"/>
      <c r="B210" s="537"/>
      <c r="C210" s="598"/>
      <c r="D210" s="598"/>
      <c r="E210" s="598"/>
      <c r="F210" s="598"/>
      <c r="G210" s="598"/>
      <c r="H210" s="532"/>
    </row>
    <row r="211" spans="1:8" ht="15.75" customHeight="1">
      <c r="A211" s="537"/>
      <c r="B211" s="537"/>
      <c r="C211" s="598"/>
      <c r="D211" s="598"/>
      <c r="E211" s="598"/>
      <c r="F211" s="598"/>
      <c r="G211" s="598"/>
      <c r="H211" s="532"/>
    </row>
    <row r="212" spans="1:8" ht="15.75" customHeight="1">
      <c r="A212" s="537"/>
      <c r="B212" s="537"/>
      <c r="C212" s="598"/>
      <c r="D212" s="598"/>
      <c r="E212" s="598"/>
      <c r="F212" s="598"/>
      <c r="G212" s="598"/>
      <c r="H212" s="532"/>
    </row>
    <row r="213" spans="1:8" ht="15.75" customHeight="1">
      <c r="A213" s="537"/>
      <c r="B213" s="537"/>
      <c r="C213" s="530"/>
      <c r="D213" s="598"/>
      <c r="E213" s="598"/>
      <c r="F213" s="598"/>
      <c r="G213" s="598"/>
      <c r="H213" s="532"/>
    </row>
    <row r="214" spans="1:8" ht="15.75" customHeight="1">
      <c r="A214" s="537"/>
      <c r="B214" s="537"/>
      <c r="C214" s="530"/>
      <c r="D214" s="598"/>
      <c r="E214" s="598"/>
      <c r="F214" s="598"/>
      <c r="G214" s="598"/>
      <c r="H214" s="532"/>
    </row>
    <row r="215" spans="1:8" ht="15.75" customHeight="1">
      <c r="A215" s="537"/>
      <c r="B215" s="537"/>
      <c r="C215" s="598"/>
      <c r="D215" s="598"/>
      <c r="E215" s="598"/>
      <c r="F215" s="598"/>
      <c r="G215" s="598"/>
      <c r="H215" s="532"/>
    </row>
    <row r="216" spans="1:8" ht="15.75" customHeight="1">
      <c r="A216" s="538"/>
      <c r="B216" s="538"/>
      <c r="C216" s="598"/>
      <c r="D216" s="598"/>
      <c r="E216" s="598"/>
      <c r="F216" s="598"/>
      <c r="G216" s="598"/>
      <c r="H216" s="532"/>
    </row>
    <row r="217" spans="1:8" ht="15.75" customHeight="1">
      <c r="A217" s="538"/>
      <c r="B217" s="538"/>
      <c r="C217" s="598"/>
      <c r="D217" s="598"/>
      <c r="E217" s="598"/>
      <c r="F217" s="598"/>
      <c r="G217" s="598"/>
      <c r="H217" s="532"/>
    </row>
    <row r="218" spans="1:8" ht="15.75" customHeight="1">
      <c r="A218" s="538"/>
      <c r="B218" s="538"/>
      <c r="C218" s="598"/>
      <c r="D218" s="598"/>
      <c r="E218" s="598"/>
      <c r="F218" s="598"/>
      <c r="G218" s="598"/>
      <c r="H218" s="532"/>
    </row>
    <row r="219" spans="1:8" ht="15.75" customHeight="1">
      <c r="A219" s="538"/>
      <c r="B219" s="538"/>
      <c r="C219" s="598"/>
      <c r="D219" s="598"/>
      <c r="E219" s="598"/>
      <c r="F219" s="598"/>
      <c r="G219" s="598"/>
      <c r="H219" s="532"/>
    </row>
    <row r="220" spans="1:8" ht="15.75" customHeight="1">
      <c r="A220" s="538"/>
      <c r="B220" s="538"/>
      <c r="C220" s="598"/>
      <c r="D220" s="598"/>
      <c r="E220" s="598"/>
      <c r="F220" s="598"/>
      <c r="G220" s="598"/>
      <c r="H220" s="532"/>
    </row>
    <row r="221" spans="1:8" ht="15.75" customHeight="1">
      <c r="A221" s="538"/>
      <c r="B221" s="538"/>
      <c r="C221" s="530"/>
      <c r="D221" s="598"/>
      <c r="E221" s="598"/>
      <c r="F221" s="598"/>
      <c r="G221" s="598"/>
      <c r="H221" s="532"/>
    </row>
    <row r="222" spans="1:8" ht="15.75" customHeight="1">
      <c r="A222" s="538"/>
      <c r="B222" s="538"/>
      <c r="C222" s="530"/>
      <c r="D222" s="598"/>
      <c r="E222" s="598"/>
      <c r="F222" s="598"/>
      <c r="G222" s="598"/>
      <c r="H222" s="532"/>
    </row>
    <row r="223" spans="1:8" ht="15.75" customHeight="1">
      <c r="A223" s="538"/>
      <c r="B223" s="538"/>
      <c r="C223" s="598"/>
      <c r="D223" s="598"/>
      <c r="E223" s="598"/>
      <c r="F223" s="598"/>
      <c r="G223" s="598"/>
      <c r="H223" s="532"/>
    </row>
    <row r="224" spans="1:8" ht="15.75" customHeight="1">
      <c r="A224" s="539"/>
      <c r="B224" s="539"/>
      <c r="C224" s="532"/>
      <c r="D224" s="532"/>
      <c r="E224" s="532"/>
      <c r="F224" s="532"/>
      <c r="G224" s="532"/>
      <c r="H224" s="532"/>
    </row>
    <row r="225" spans="1:8" ht="15.75" customHeight="1">
      <c r="A225" s="539"/>
      <c r="B225" s="539"/>
      <c r="C225" s="532"/>
      <c r="D225" s="532"/>
      <c r="E225" s="532"/>
      <c r="F225" s="532"/>
      <c r="G225" s="532"/>
      <c r="H225" s="532"/>
    </row>
    <row r="226" spans="1:8" ht="15.75" customHeight="1">
      <c r="A226" s="539"/>
      <c r="B226" s="539"/>
      <c r="C226" s="598"/>
      <c r="D226" s="598"/>
      <c r="E226" s="532"/>
      <c r="F226" s="532"/>
      <c r="G226" s="532"/>
      <c r="H226" s="532"/>
    </row>
    <row r="227" spans="1:8" ht="15.75" customHeight="1">
      <c r="A227" s="539"/>
      <c r="B227" s="539"/>
      <c r="C227" s="532"/>
      <c r="D227" s="532"/>
      <c r="E227" s="532"/>
      <c r="F227" s="532"/>
      <c r="G227" s="532"/>
      <c r="H227" s="532"/>
    </row>
    <row r="228" spans="1:8" ht="15.75" customHeight="1">
      <c r="A228" s="540"/>
      <c r="B228" s="540"/>
      <c r="C228" s="541"/>
      <c r="D228" s="536"/>
      <c r="E228" s="536"/>
      <c r="F228" s="532"/>
      <c r="G228" s="532"/>
      <c r="H228" s="532"/>
    </row>
    <row r="229" spans="1:8" ht="15.75" customHeight="1">
      <c r="A229" s="529"/>
      <c r="B229" s="529"/>
      <c r="C229" s="536"/>
      <c r="D229" s="536"/>
      <c r="E229" s="536"/>
      <c r="F229" s="532"/>
      <c r="G229" s="532"/>
      <c r="H229" s="532"/>
    </row>
    <row r="230" spans="1:8" ht="15.75" customHeight="1">
      <c r="A230" s="539"/>
      <c r="B230" s="539"/>
      <c r="C230" s="532"/>
      <c r="D230" s="532"/>
      <c r="E230" s="532"/>
      <c r="F230" s="532"/>
      <c r="G230" s="532"/>
      <c r="H230" s="532"/>
    </row>
    <row r="231" spans="1:8" ht="15.75" customHeight="1">
      <c r="A231" s="539"/>
      <c r="B231" s="539"/>
      <c r="C231" s="532"/>
      <c r="D231" s="532"/>
      <c r="E231" s="532"/>
      <c r="F231" s="532"/>
      <c r="G231" s="532"/>
      <c r="H231" s="532"/>
    </row>
    <row r="232" spans="1:8" s="544" customFormat="1" ht="15.75" customHeight="1">
      <c r="A232" s="542"/>
      <c r="B232" s="542"/>
      <c r="C232" s="543"/>
      <c r="D232" s="543"/>
      <c r="E232" s="543"/>
      <c r="F232" s="536"/>
      <c r="G232" s="536"/>
      <c r="H232" s="536"/>
    </row>
    <row r="233" spans="1:8" s="544" customFormat="1" ht="15.75" customHeight="1">
      <c r="A233" s="529"/>
      <c r="B233" s="529"/>
      <c r="C233" s="536"/>
      <c r="D233" s="536"/>
      <c r="E233" s="536"/>
      <c r="F233" s="536"/>
      <c r="G233" s="536"/>
      <c r="H233" s="536"/>
    </row>
    <row r="234" spans="1:8" s="544" customFormat="1" ht="15.75" customHeight="1">
      <c r="A234" s="542"/>
      <c r="B234" s="542"/>
      <c r="C234" s="536"/>
      <c r="D234" s="536"/>
      <c r="E234" s="536"/>
      <c r="F234" s="536"/>
      <c r="G234" s="536"/>
      <c r="H234" s="536"/>
    </row>
    <row r="235" spans="1:8" s="544" customFormat="1" ht="15.75" customHeight="1">
      <c r="A235" s="540"/>
      <c r="B235" s="540"/>
      <c r="C235" s="536"/>
      <c r="D235" s="536"/>
      <c r="E235" s="536"/>
      <c r="F235" s="536"/>
      <c r="G235" s="536"/>
      <c r="H235" s="536"/>
    </row>
    <row r="236" spans="1:8" s="544" customFormat="1" ht="15.75" customHeight="1">
      <c r="A236" s="529"/>
      <c r="B236" s="529"/>
      <c r="C236" s="536"/>
      <c r="D236" s="536"/>
      <c r="E236" s="536"/>
      <c r="F236" s="536"/>
      <c r="G236" s="536"/>
      <c r="H236" s="536"/>
    </row>
    <row r="237" spans="1:8" s="544" customFormat="1" ht="15.75" customHeight="1">
      <c r="A237" s="529"/>
      <c r="B237" s="529"/>
      <c r="C237" s="536"/>
      <c r="D237" s="536"/>
      <c r="E237" s="536"/>
      <c r="F237" s="536"/>
      <c r="G237" s="536"/>
      <c r="H237" s="536"/>
    </row>
    <row r="238" spans="1:8" s="544" customFormat="1" ht="15.75" customHeight="1">
      <c r="A238" s="529"/>
      <c r="B238" s="529"/>
      <c r="C238" s="536"/>
      <c r="D238" s="536"/>
      <c r="E238" s="536"/>
      <c r="F238" s="536"/>
      <c r="G238" s="536"/>
      <c r="H238" s="536"/>
    </row>
    <row r="239" spans="1:8" ht="15.75" customHeight="1">
      <c r="A239" s="545"/>
      <c r="B239" s="545"/>
      <c r="C239" s="536"/>
      <c r="D239" s="532"/>
      <c r="E239" s="532"/>
      <c r="F239" s="532"/>
      <c r="G239" s="532"/>
      <c r="H239" s="532"/>
    </row>
    <row r="240" spans="1:8" ht="15.75" customHeight="1">
      <c r="A240" s="545"/>
      <c r="B240" s="545"/>
      <c r="C240" s="532"/>
      <c r="D240" s="532"/>
      <c r="E240" s="532"/>
      <c r="F240" s="532"/>
      <c r="G240" s="532"/>
      <c r="H240" s="532"/>
    </row>
    <row r="241" spans="1:8" ht="15.75" customHeight="1">
      <c r="A241" s="545"/>
      <c r="B241" s="545"/>
      <c r="C241" s="532"/>
      <c r="D241" s="532"/>
      <c r="E241" s="532"/>
      <c r="F241" s="532"/>
      <c r="G241" s="532"/>
      <c r="H241" s="532"/>
    </row>
    <row r="242" spans="1:8" ht="15.75" customHeight="1">
      <c r="A242" s="545"/>
      <c r="B242" s="545"/>
      <c r="C242" s="532"/>
      <c r="D242" s="532"/>
      <c r="E242" s="532"/>
      <c r="F242" s="532"/>
      <c r="G242" s="532"/>
      <c r="H242" s="532"/>
    </row>
    <row r="243" spans="1:8" ht="15.75" customHeight="1">
      <c r="A243" s="545"/>
      <c r="B243" s="545"/>
      <c r="C243" s="532"/>
      <c r="D243" s="532"/>
      <c r="E243" s="532"/>
      <c r="F243" s="532"/>
      <c r="G243" s="532"/>
      <c r="H243" s="532"/>
    </row>
    <row r="244" spans="1:8" ht="15.75" customHeight="1">
      <c r="A244" s="545"/>
      <c r="B244" s="545"/>
      <c r="C244" s="532"/>
      <c r="D244" s="532"/>
      <c r="E244" s="532"/>
      <c r="F244" s="532"/>
      <c r="G244" s="532"/>
      <c r="H244" s="532"/>
    </row>
    <row r="245" spans="1:8" ht="15.75" customHeight="1">
      <c r="A245" s="545"/>
      <c r="B245" s="545"/>
      <c r="C245" s="532"/>
      <c r="D245" s="532"/>
      <c r="E245" s="532"/>
      <c r="F245" s="532"/>
      <c r="G245" s="532"/>
      <c r="H245" s="532"/>
    </row>
    <row r="246" spans="1:8" ht="15.75" customHeight="1">
      <c r="A246" s="545"/>
      <c r="B246" s="545"/>
      <c r="C246" s="532"/>
      <c r="D246" s="532"/>
      <c r="E246" s="532"/>
      <c r="F246" s="532"/>
      <c r="G246" s="532"/>
      <c r="H246" s="532"/>
    </row>
    <row r="247" spans="1:8" ht="15.75" customHeight="1">
      <c r="C247" s="532"/>
      <c r="D247" s="532"/>
      <c r="E247" s="532"/>
      <c r="F247" s="532"/>
      <c r="G247" s="532"/>
      <c r="H247" s="532"/>
    </row>
    <row r="248" spans="1:8" ht="15.75" customHeight="1">
      <c r="C248" s="532"/>
      <c r="D248" s="532"/>
      <c r="E248" s="532"/>
      <c r="F248" s="532"/>
      <c r="G248" s="532"/>
      <c r="H248" s="532"/>
    </row>
    <row r="249" spans="1:8" ht="15.75" customHeight="1">
      <c r="C249" s="532"/>
      <c r="D249" s="532"/>
      <c r="E249" s="532"/>
      <c r="F249" s="532"/>
      <c r="G249" s="532"/>
      <c r="H249" s="532"/>
    </row>
    <row r="250" spans="1:8" ht="15.75" customHeight="1">
      <c r="C250" s="532"/>
      <c r="D250" s="532"/>
      <c r="E250" s="532"/>
      <c r="F250" s="532"/>
      <c r="G250" s="532"/>
      <c r="H250" s="532"/>
    </row>
    <row r="251" spans="1:8" ht="15.75" customHeight="1">
      <c r="C251" s="532"/>
      <c r="D251" s="532"/>
      <c r="E251" s="532"/>
      <c r="F251" s="532"/>
      <c r="G251" s="532"/>
      <c r="H251" s="532"/>
    </row>
    <row r="252" spans="1:8" ht="15.75" customHeight="1">
      <c r="C252" s="532"/>
      <c r="D252" s="532"/>
      <c r="E252" s="532"/>
      <c r="F252" s="532"/>
      <c r="G252" s="532"/>
      <c r="H252" s="532"/>
    </row>
    <row r="253" spans="1:8" ht="15.75" customHeight="1">
      <c r="C253" s="532"/>
      <c r="D253" s="532"/>
      <c r="E253" s="532"/>
      <c r="F253" s="532"/>
      <c r="G253" s="532"/>
      <c r="H253" s="532"/>
    </row>
    <row r="254" spans="1:8" ht="15.75" customHeight="1">
      <c r="C254" s="532"/>
      <c r="D254" s="532"/>
      <c r="E254" s="532"/>
      <c r="F254" s="532"/>
      <c r="G254" s="532"/>
      <c r="H254" s="532"/>
    </row>
    <row r="255" spans="1:8" ht="15.75" customHeight="1">
      <c r="C255" s="532"/>
      <c r="D255" s="532"/>
      <c r="E255" s="532"/>
      <c r="F255" s="532"/>
      <c r="G255" s="532"/>
      <c r="H255" s="532"/>
    </row>
    <row r="256" spans="1:8" ht="15.75" customHeight="1">
      <c r="C256" s="532"/>
      <c r="D256" s="532"/>
      <c r="E256" s="532"/>
      <c r="F256" s="532"/>
      <c r="G256" s="532"/>
      <c r="H256" s="532"/>
    </row>
    <row r="257" spans="3:8" ht="15.75" customHeight="1">
      <c r="C257" s="532"/>
      <c r="D257" s="532"/>
      <c r="E257" s="532"/>
      <c r="F257" s="532"/>
      <c r="G257" s="532"/>
      <c r="H257" s="532"/>
    </row>
    <row r="258" spans="3:8" ht="15.75" customHeight="1">
      <c r="C258" s="532"/>
      <c r="D258" s="532"/>
      <c r="E258" s="532"/>
      <c r="F258" s="532"/>
      <c r="G258" s="532"/>
      <c r="H258" s="532"/>
    </row>
    <row r="259" spans="3:8" ht="15.75" customHeight="1">
      <c r="C259" s="532"/>
      <c r="D259" s="532"/>
      <c r="E259" s="532"/>
      <c r="F259" s="532"/>
      <c r="G259" s="532"/>
      <c r="H259" s="532"/>
    </row>
    <row r="260" spans="3:8" ht="15.75" customHeight="1">
      <c r="C260" s="532"/>
      <c r="D260" s="532"/>
      <c r="E260" s="532"/>
      <c r="F260" s="532"/>
      <c r="G260" s="532"/>
      <c r="H260" s="532"/>
    </row>
    <row r="261" spans="3:8" ht="15.75" customHeight="1">
      <c r="C261" s="532"/>
      <c r="D261" s="532"/>
      <c r="E261" s="532"/>
      <c r="F261" s="532"/>
      <c r="G261" s="532"/>
      <c r="H261" s="532"/>
    </row>
    <row r="262" spans="3:8" ht="15.75" customHeight="1">
      <c r="C262" s="532"/>
      <c r="D262" s="532"/>
      <c r="E262" s="532"/>
      <c r="F262" s="532"/>
      <c r="G262" s="532"/>
      <c r="H262" s="532"/>
    </row>
    <row r="263" spans="3:8" ht="15.75" customHeight="1">
      <c r="C263" s="532"/>
      <c r="D263" s="532"/>
      <c r="E263" s="532"/>
      <c r="F263" s="532"/>
      <c r="G263" s="532"/>
      <c r="H263" s="532"/>
    </row>
    <row r="264" spans="3:8" ht="15.75" customHeight="1">
      <c r="C264" s="532"/>
      <c r="D264" s="532"/>
      <c r="E264" s="532"/>
      <c r="F264" s="532"/>
      <c r="G264" s="532"/>
      <c r="H264" s="532"/>
    </row>
    <row r="265" spans="3:8" ht="15.75" customHeight="1">
      <c r="C265" s="532"/>
      <c r="D265" s="532"/>
      <c r="E265" s="532"/>
      <c r="F265" s="532"/>
      <c r="G265" s="532"/>
      <c r="H265" s="532"/>
    </row>
    <row r="266" spans="3:8" ht="15.75" customHeight="1">
      <c r="C266" s="532"/>
      <c r="D266" s="532"/>
      <c r="E266" s="532"/>
      <c r="F266" s="532"/>
      <c r="G266" s="532"/>
      <c r="H266" s="532"/>
    </row>
    <row r="267" spans="3:8" ht="15.75" customHeight="1">
      <c r="C267" s="532"/>
      <c r="D267" s="532"/>
      <c r="E267" s="532"/>
      <c r="F267" s="532"/>
      <c r="G267" s="532"/>
      <c r="H267" s="532"/>
    </row>
    <row r="268" spans="3:8" ht="15.75" customHeight="1">
      <c r="C268" s="532"/>
      <c r="D268" s="532"/>
      <c r="E268" s="532"/>
      <c r="F268" s="532"/>
      <c r="G268" s="532"/>
      <c r="H268" s="532"/>
    </row>
    <row r="269" spans="3:8" ht="15.75" customHeight="1">
      <c r="C269" s="532"/>
      <c r="D269" s="532"/>
      <c r="E269" s="532"/>
      <c r="F269" s="532"/>
      <c r="G269" s="532"/>
      <c r="H269" s="532"/>
    </row>
    <row r="270" spans="3:8" ht="15.75" customHeight="1">
      <c r="C270" s="532"/>
      <c r="D270" s="532"/>
      <c r="E270" s="532"/>
      <c r="F270" s="532"/>
      <c r="G270" s="532"/>
      <c r="H270" s="532"/>
    </row>
    <row r="271" spans="3:8" ht="15.75" customHeight="1">
      <c r="C271" s="532"/>
      <c r="D271" s="532"/>
      <c r="E271" s="532"/>
      <c r="F271" s="532"/>
      <c r="G271" s="532"/>
      <c r="H271" s="532"/>
    </row>
    <row r="272" spans="3:8" ht="15.75" customHeight="1">
      <c r="C272" s="532"/>
      <c r="D272" s="532"/>
      <c r="E272" s="532"/>
      <c r="F272" s="532"/>
      <c r="G272" s="532"/>
      <c r="H272" s="532"/>
    </row>
    <row r="273" spans="3:8" ht="15.75" customHeight="1">
      <c r="C273" s="532"/>
      <c r="D273" s="532"/>
      <c r="E273" s="532"/>
      <c r="F273" s="532"/>
      <c r="G273" s="532"/>
      <c r="H273" s="532"/>
    </row>
    <row r="274" spans="3:8" ht="15.75" customHeight="1">
      <c r="C274" s="532"/>
      <c r="D274" s="532"/>
      <c r="E274" s="532"/>
      <c r="F274" s="532"/>
      <c r="G274" s="532"/>
      <c r="H274" s="532"/>
    </row>
    <row r="275" spans="3:8" ht="15.75" customHeight="1">
      <c r="C275" s="532"/>
      <c r="D275" s="532"/>
      <c r="E275" s="532"/>
      <c r="F275" s="532"/>
      <c r="G275" s="532"/>
      <c r="H275" s="532"/>
    </row>
    <row r="276" spans="3:8" ht="15.75" customHeight="1">
      <c r="C276" s="532"/>
      <c r="D276" s="532"/>
      <c r="E276" s="532"/>
      <c r="F276" s="532"/>
      <c r="G276" s="532"/>
      <c r="H276" s="532"/>
    </row>
  </sheetData>
  <sheetProtection password="C09E" sheet="1" objects="1" scenarios="1" selectLockedCells="1" selectUnlockedCells="1"/>
  <mergeCells count="10">
    <mergeCell ref="I92:I93"/>
    <mergeCell ref="C107:C108"/>
    <mergeCell ref="I107:I108"/>
    <mergeCell ref="E2:E3"/>
    <mergeCell ref="F2:F3"/>
    <mergeCell ref="G2:G3"/>
    <mergeCell ref="C22:C23"/>
    <mergeCell ref="C92:C93"/>
    <mergeCell ref="D92:D93"/>
    <mergeCell ref="E92:E93"/>
  </mergeCells>
  <phoneticPr fontId="7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00B0F0"/>
  </sheetPr>
  <dimension ref="A1:M165"/>
  <sheetViews>
    <sheetView zoomScaleSheetLayoutView="85" workbookViewId="0">
      <pane ySplit="3" topLeftCell="A4" activePane="bottomLeft" state="frozen"/>
      <selection activeCell="A2" sqref="A2"/>
      <selection pane="bottomLeft"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13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13" s="503" customFormat="1" ht="15.75" customHeight="1">
      <c r="A2" s="500" t="str">
        <f>YEAR(기본사항!$C$12)&amp;"년 세무조정 - 자동조정"</f>
        <v>2011년 세무조정 - 자동조정</v>
      </c>
      <c r="B2" s="501"/>
      <c r="C2" s="501"/>
      <c r="D2" s="501"/>
      <c r="E2" s="1342" t="s">
        <v>2364</v>
      </c>
      <c r="F2" s="1344">
        <f>기본사항!$C$14</f>
        <v>40563</v>
      </c>
      <c r="G2" s="1345" t="str">
        <f>기본사항!$C$17</f>
        <v>Kbj</v>
      </c>
      <c r="H2" s="591"/>
    </row>
    <row r="3" spans="1:13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/>
    </row>
    <row r="5" spans="1:13" ht="15.75" customHeight="1">
      <c r="A5" s="505" t="s">
        <v>2341</v>
      </c>
      <c r="B5" s="505"/>
      <c r="J5" s="545"/>
      <c r="K5" s="545"/>
      <c r="L5" s="545"/>
      <c r="M5" s="545"/>
    </row>
    <row r="6" spans="1:13" ht="15.75" customHeight="1">
      <c r="C6" s="507" t="s">
        <v>2342</v>
      </c>
      <c r="D6" s="508"/>
      <c r="E6" s="508"/>
      <c r="F6" s="508" t="s">
        <v>2343</v>
      </c>
      <c r="G6" s="508"/>
      <c r="H6" s="509"/>
      <c r="J6" s="545"/>
      <c r="K6" s="545"/>
      <c r="L6" s="545"/>
      <c r="M6" s="545"/>
    </row>
    <row r="7" spans="1:13" ht="15.75" customHeight="1">
      <c r="C7" s="510" t="s">
        <v>2344</v>
      </c>
      <c r="D7" s="511" t="s">
        <v>2345</v>
      </c>
      <c r="E7" s="511" t="s">
        <v>2346</v>
      </c>
      <c r="F7" s="511" t="s">
        <v>2344</v>
      </c>
      <c r="G7" s="511" t="s">
        <v>2345</v>
      </c>
      <c r="H7" s="512" t="s">
        <v>2346</v>
      </c>
      <c r="J7" s="568"/>
      <c r="K7" s="568"/>
      <c r="L7" s="568"/>
      <c r="M7" s="568"/>
    </row>
    <row r="8" spans="1:13" ht="15.75" customHeight="1">
      <c r="C8" s="514" t="str">
        <f>C25</f>
        <v>외화환산손실</v>
      </c>
      <c r="D8" s="515">
        <f>$F$25</f>
        <v>0</v>
      </c>
      <c r="E8" s="601" t="s">
        <v>2361</v>
      </c>
      <c r="F8" s="516" t="str">
        <f>C8</f>
        <v>외화환산손실</v>
      </c>
      <c r="G8" s="515">
        <f>$E$25</f>
        <v>0</v>
      </c>
      <c r="H8" s="554" t="s">
        <v>2361</v>
      </c>
      <c r="J8" s="569"/>
      <c r="K8" s="569"/>
      <c r="L8" s="569"/>
      <c r="M8" s="569"/>
    </row>
    <row r="9" spans="1:13" ht="15.75" customHeight="1">
      <c r="C9" s="514" t="str">
        <f t="shared" ref="C9:C12" si="0">C26</f>
        <v>외화환산이익</v>
      </c>
      <c r="D9" s="515">
        <f>$E$26</f>
        <v>0</v>
      </c>
      <c r="E9" s="601" t="s">
        <v>2361</v>
      </c>
      <c r="F9" s="516" t="str">
        <f t="shared" ref="F9:F20" si="1">C9</f>
        <v>외화환산이익</v>
      </c>
      <c r="G9" s="515">
        <f>$F$26</f>
        <v>0</v>
      </c>
      <c r="H9" s="554" t="s">
        <v>2361</v>
      </c>
      <c r="J9" s="569"/>
      <c r="K9" s="569"/>
      <c r="L9" s="569"/>
      <c r="M9" s="569"/>
    </row>
    <row r="10" spans="1:13" ht="15.75" customHeight="1">
      <c r="C10" s="514" t="str">
        <f t="shared" si="0"/>
        <v>지분법손실</v>
      </c>
      <c r="D10" s="515">
        <f>$F$27</f>
        <v>0</v>
      </c>
      <c r="E10" s="604" t="s">
        <v>2361</v>
      </c>
      <c r="F10" s="516" t="str">
        <f t="shared" si="1"/>
        <v>지분법손실</v>
      </c>
      <c r="G10" s="515">
        <f>$E$27</f>
        <v>0</v>
      </c>
      <c r="H10" s="554" t="s">
        <v>2361</v>
      </c>
      <c r="J10" s="569"/>
      <c r="K10" s="569"/>
      <c r="L10" s="569"/>
      <c r="M10" s="569"/>
    </row>
    <row r="11" spans="1:13" ht="15.75" customHeight="1">
      <c r="C11" s="514" t="str">
        <f t="shared" si="0"/>
        <v>지분법이익</v>
      </c>
      <c r="D11" s="515">
        <f>$E$28</f>
        <v>0</v>
      </c>
      <c r="E11" s="604" t="s">
        <v>2361</v>
      </c>
      <c r="F11" s="516" t="str">
        <f t="shared" si="1"/>
        <v>지분법이익</v>
      </c>
      <c r="G11" s="515">
        <f>$F$28</f>
        <v>0</v>
      </c>
      <c r="H11" s="554" t="s">
        <v>2361</v>
      </c>
      <c r="J11" s="569"/>
      <c r="K11" s="569"/>
      <c r="L11" s="569"/>
      <c r="M11" s="569"/>
    </row>
    <row r="12" spans="1:13" ht="15.75" customHeight="1">
      <c r="C12" s="514" t="str">
        <f t="shared" si="0"/>
        <v>지분법자본변동</v>
      </c>
      <c r="D12" s="515">
        <f>$E$29</f>
        <v>0</v>
      </c>
      <c r="E12" s="604" t="s">
        <v>2361</v>
      </c>
      <c r="F12" s="516" t="str">
        <f t="shared" ref="F12" si="2">C12</f>
        <v>지분법자본변동</v>
      </c>
      <c r="G12" s="515">
        <f>$F$29</f>
        <v>0</v>
      </c>
      <c r="H12" s="554" t="s">
        <v>2361</v>
      </c>
      <c r="J12" s="569"/>
      <c r="K12" s="569"/>
      <c r="L12" s="569"/>
      <c r="M12" s="569"/>
    </row>
    <row r="13" spans="1:13" ht="15.75" customHeight="1">
      <c r="C13" s="514" t="str">
        <f t="shared" ref="C13:C20" si="3">C30</f>
        <v>단기매매증권평가손실</v>
      </c>
      <c r="D13" s="515">
        <f>$F$30</f>
        <v>0</v>
      </c>
      <c r="E13" s="604" t="s">
        <v>2361</v>
      </c>
      <c r="F13" s="516" t="str">
        <f t="shared" si="1"/>
        <v>단기매매증권평가손실</v>
      </c>
      <c r="G13" s="515">
        <f>$E$30</f>
        <v>0</v>
      </c>
      <c r="H13" s="554" t="s">
        <v>2361</v>
      </c>
      <c r="J13" s="569"/>
      <c r="K13" s="569"/>
      <c r="L13" s="569"/>
      <c r="M13" s="569"/>
    </row>
    <row r="14" spans="1:13" ht="15.75" customHeight="1">
      <c r="C14" s="514" t="str">
        <f t="shared" si="3"/>
        <v>단기매매증권평가이익</v>
      </c>
      <c r="D14" s="515">
        <f>$E$31</f>
        <v>0</v>
      </c>
      <c r="E14" s="604" t="s">
        <v>2361</v>
      </c>
      <c r="F14" s="516" t="str">
        <f t="shared" si="1"/>
        <v>단기매매증권평가이익</v>
      </c>
      <c r="G14" s="515">
        <f>$F$31</f>
        <v>0</v>
      </c>
      <c r="H14" s="554" t="s">
        <v>2361</v>
      </c>
      <c r="J14" s="569"/>
      <c r="K14" s="569"/>
      <c r="L14" s="569"/>
      <c r="M14" s="569"/>
    </row>
    <row r="15" spans="1:13" ht="15.75" customHeight="1">
      <c r="C15" s="514" t="str">
        <f t="shared" si="3"/>
        <v>원재료평가손실</v>
      </c>
      <c r="D15" s="515">
        <f>$F$32</f>
        <v>0</v>
      </c>
      <c r="E15" s="604" t="s">
        <v>2361</v>
      </c>
      <c r="F15" s="516" t="str">
        <f t="shared" si="1"/>
        <v>원재료평가손실</v>
      </c>
      <c r="G15" s="515">
        <f>$E$32</f>
        <v>0</v>
      </c>
      <c r="H15" s="554" t="s">
        <v>2361</v>
      </c>
      <c r="J15" s="569"/>
      <c r="K15" s="569"/>
      <c r="L15" s="569"/>
      <c r="M15" s="569"/>
    </row>
    <row r="16" spans="1:13" ht="15.75" customHeight="1">
      <c r="C16" s="514" t="str">
        <f t="shared" si="3"/>
        <v>제품평가손실</v>
      </c>
      <c r="D16" s="515">
        <f>$F$33</f>
        <v>0</v>
      </c>
      <c r="E16" s="604" t="s">
        <v>2361</v>
      </c>
      <c r="F16" s="516" t="str">
        <f t="shared" si="1"/>
        <v>제품평가손실</v>
      </c>
      <c r="G16" s="515">
        <f>$E$33</f>
        <v>0</v>
      </c>
      <c r="H16" s="554" t="s">
        <v>2361</v>
      </c>
      <c r="J16" s="569"/>
      <c r="K16" s="569"/>
      <c r="L16" s="569"/>
      <c r="M16" s="569"/>
    </row>
    <row r="17" spans="1:13" ht="15.75" customHeight="1">
      <c r="C17" s="514" t="str">
        <f t="shared" si="3"/>
        <v>미수수익</v>
      </c>
      <c r="D17" s="515">
        <f>$E$34</f>
        <v>0</v>
      </c>
      <c r="E17" s="601" t="s">
        <v>2361</v>
      </c>
      <c r="F17" s="516" t="str">
        <f t="shared" si="1"/>
        <v>미수수익</v>
      </c>
      <c r="G17" s="515">
        <f>$F$34</f>
        <v>0</v>
      </c>
      <c r="H17" s="554" t="s">
        <v>2361</v>
      </c>
      <c r="J17" s="569"/>
      <c r="K17" s="569"/>
      <c r="L17" s="569"/>
      <c r="M17" s="569"/>
    </row>
    <row r="18" spans="1:13" ht="15.75" customHeight="1">
      <c r="C18" s="514" t="str">
        <f t="shared" si="3"/>
        <v>마일리지충당금</v>
      </c>
      <c r="D18" s="515">
        <f>F35</f>
        <v>0</v>
      </c>
      <c r="E18" s="601" t="s">
        <v>2361</v>
      </c>
      <c r="F18" s="516" t="str">
        <f t="shared" si="1"/>
        <v>마일리지충당금</v>
      </c>
      <c r="G18" s="515">
        <f>E35</f>
        <v>0</v>
      </c>
      <c r="H18" s="554" t="s">
        <v>2361</v>
      </c>
      <c r="J18" s="569"/>
      <c r="K18" s="569"/>
      <c r="L18" s="569"/>
      <c r="M18" s="569"/>
    </row>
    <row r="19" spans="1:13" ht="15.75" customHeight="1">
      <c r="C19" s="514" t="str">
        <f t="shared" si="3"/>
        <v>판매보증충당금</v>
      </c>
      <c r="D19" s="515">
        <f t="shared" ref="D19:D20" si="4">F36</f>
        <v>0</v>
      </c>
      <c r="E19" s="601" t="s">
        <v>2361</v>
      </c>
      <c r="F19" s="516" t="str">
        <f t="shared" si="1"/>
        <v>판매보증충당금</v>
      </c>
      <c r="G19" s="515">
        <f t="shared" ref="G19:G20" si="5">E36</f>
        <v>0</v>
      </c>
      <c r="H19" s="554" t="s">
        <v>2361</v>
      </c>
      <c r="J19" s="569"/>
      <c r="K19" s="569"/>
      <c r="L19" s="569"/>
      <c r="M19" s="569"/>
    </row>
    <row r="20" spans="1:13" ht="15.75" customHeight="1">
      <c r="C20" s="514" t="str">
        <f t="shared" si="3"/>
        <v>하자보수충당금</v>
      </c>
      <c r="D20" s="515">
        <f t="shared" si="4"/>
        <v>0</v>
      </c>
      <c r="E20" s="601" t="s">
        <v>2361</v>
      </c>
      <c r="F20" s="516" t="str">
        <f t="shared" si="1"/>
        <v>하자보수충당금</v>
      </c>
      <c r="G20" s="515">
        <f t="shared" si="5"/>
        <v>0</v>
      </c>
      <c r="H20" s="554" t="s">
        <v>2361</v>
      </c>
      <c r="J20" s="569"/>
      <c r="K20" s="569"/>
      <c r="L20" s="569"/>
      <c r="M20" s="569"/>
    </row>
    <row r="21" spans="1:13" ht="15.75" customHeight="1">
      <c r="C21" s="523"/>
      <c r="D21" s="524">
        <f>SUM(D8:D20)</f>
        <v>0</v>
      </c>
      <c r="E21" s="525"/>
      <c r="F21" s="526"/>
      <c r="G21" s="524">
        <f>SUM(G8:G20)</f>
        <v>0</v>
      </c>
      <c r="H21" s="527"/>
    </row>
    <row r="23" spans="1:13" ht="15.75" customHeight="1">
      <c r="A23" s="505" t="s">
        <v>2524</v>
      </c>
      <c r="B23" s="505"/>
    </row>
    <row r="24" spans="1:13" ht="15.75" customHeight="1">
      <c r="A24" s="528"/>
      <c r="B24" s="528"/>
      <c r="C24" s="627" t="s">
        <v>2576</v>
      </c>
      <c r="D24" s="601" t="s">
        <v>2577</v>
      </c>
      <c r="E24" s="601" t="s">
        <v>2578</v>
      </c>
      <c r="F24" s="601" t="s">
        <v>2579</v>
      </c>
      <c r="G24" s="595" t="s">
        <v>2580</v>
      </c>
      <c r="H24" s="532"/>
    </row>
    <row r="25" spans="1:13" ht="15.75" customHeight="1">
      <c r="A25" s="528"/>
      <c r="B25" s="528"/>
      <c r="C25" s="628" t="str">
        <f>'T201'!C120</f>
        <v>외화환산손실</v>
      </c>
      <c r="D25" s="635">
        <f>'T201'!D120</f>
        <v>0</v>
      </c>
      <c r="E25" s="635">
        <f>'T201'!E120</f>
        <v>0</v>
      </c>
      <c r="F25" s="635">
        <f>'T201'!F120</f>
        <v>0</v>
      </c>
      <c r="G25" s="605">
        <f>D25-E25+F25</f>
        <v>0</v>
      </c>
      <c r="H25" s="532"/>
    </row>
    <row r="26" spans="1:13" ht="15.75" customHeight="1">
      <c r="A26" s="528"/>
      <c r="B26" s="528"/>
      <c r="C26" s="514" t="str">
        <f>'T201'!C121</f>
        <v>외화환산이익</v>
      </c>
      <c r="D26" s="515">
        <f>'T201'!D121</f>
        <v>0</v>
      </c>
      <c r="E26" s="515">
        <f>'T201'!E121</f>
        <v>0</v>
      </c>
      <c r="F26" s="515">
        <f>'T201'!F121</f>
        <v>0</v>
      </c>
      <c r="G26" s="605">
        <f t="shared" ref="G26:G37" si="6">D26-E26+F26</f>
        <v>0</v>
      </c>
      <c r="H26" s="532"/>
    </row>
    <row r="27" spans="1:13" ht="15.75" customHeight="1">
      <c r="A27" s="528"/>
      <c r="B27" s="528"/>
      <c r="C27" s="514" t="str">
        <f>'T201'!C122</f>
        <v>지분법손실</v>
      </c>
      <c r="D27" s="515">
        <f>'T201'!D122</f>
        <v>0</v>
      </c>
      <c r="E27" s="515">
        <f>'T201'!E122</f>
        <v>0</v>
      </c>
      <c r="F27" s="515">
        <f>'T201'!F122</f>
        <v>0</v>
      </c>
      <c r="G27" s="605">
        <f t="shared" si="6"/>
        <v>0</v>
      </c>
      <c r="H27" s="532"/>
    </row>
    <row r="28" spans="1:13" ht="15.75" customHeight="1">
      <c r="A28" s="528"/>
      <c r="B28" s="528"/>
      <c r="C28" s="514" t="str">
        <f>'T201'!C123</f>
        <v>지분법이익</v>
      </c>
      <c r="D28" s="515">
        <f>'T201'!D123</f>
        <v>0</v>
      </c>
      <c r="E28" s="515">
        <f>'T201'!E123</f>
        <v>0</v>
      </c>
      <c r="F28" s="515">
        <f>'T201'!F123</f>
        <v>0</v>
      </c>
      <c r="G28" s="605">
        <f t="shared" si="6"/>
        <v>0</v>
      </c>
      <c r="H28" s="532"/>
    </row>
    <row r="29" spans="1:13" ht="15.75" customHeight="1">
      <c r="A29" s="528"/>
      <c r="B29" s="528"/>
      <c r="C29" s="514" t="str">
        <f>'T201'!C124</f>
        <v>지분법자본변동</v>
      </c>
      <c r="D29" s="515">
        <f>'T201'!D124</f>
        <v>0</v>
      </c>
      <c r="E29" s="515">
        <f>'T201'!E124</f>
        <v>0</v>
      </c>
      <c r="F29" s="515">
        <f>'T201'!F124</f>
        <v>0</v>
      </c>
      <c r="G29" s="605">
        <f t="shared" ref="G29" si="7">D29-E29+F29</f>
        <v>0</v>
      </c>
      <c r="H29" s="532"/>
    </row>
    <row r="30" spans="1:13" ht="15.75" customHeight="1">
      <c r="A30" s="528"/>
      <c r="B30" s="528"/>
      <c r="C30" s="514" t="str">
        <f>'T201'!C125</f>
        <v>단기매매증권평가손실</v>
      </c>
      <c r="D30" s="515">
        <f>'T201'!D125</f>
        <v>0</v>
      </c>
      <c r="E30" s="515">
        <f>'T201'!E125</f>
        <v>0</v>
      </c>
      <c r="F30" s="515">
        <f>'T201'!F125</f>
        <v>0</v>
      </c>
      <c r="G30" s="605">
        <f t="shared" si="6"/>
        <v>0</v>
      </c>
      <c r="H30" s="532"/>
    </row>
    <row r="31" spans="1:13" ht="15.75" customHeight="1">
      <c r="A31" s="528"/>
      <c r="B31" s="528"/>
      <c r="C31" s="514" t="str">
        <f>'T201'!C126</f>
        <v>단기매매증권평가이익</v>
      </c>
      <c r="D31" s="515">
        <f>'T201'!D126</f>
        <v>0</v>
      </c>
      <c r="E31" s="515">
        <f>'T201'!E126</f>
        <v>0</v>
      </c>
      <c r="F31" s="515">
        <f>'T201'!F126</f>
        <v>0</v>
      </c>
      <c r="G31" s="605">
        <f t="shared" si="6"/>
        <v>0</v>
      </c>
      <c r="H31" s="532"/>
    </row>
    <row r="32" spans="1:13" ht="15.75" customHeight="1">
      <c r="A32" s="528"/>
      <c r="B32" s="528"/>
      <c r="C32" s="514" t="str">
        <f>'T201'!C127</f>
        <v>원재료평가손실</v>
      </c>
      <c r="D32" s="515">
        <f>'T201'!D127</f>
        <v>0</v>
      </c>
      <c r="E32" s="515">
        <f>'T201'!E127</f>
        <v>0</v>
      </c>
      <c r="F32" s="515">
        <f>'T201'!F127</f>
        <v>0</v>
      </c>
      <c r="G32" s="605">
        <f t="shared" si="6"/>
        <v>0</v>
      </c>
      <c r="H32" s="532"/>
    </row>
    <row r="33" spans="1:8" ht="15.75" customHeight="1">
      <c r="A33" s="528"/>
      <c r="B33" s="528"/>
      <c r="C33" s="514" t="str">
        <f>'T201'!C128</f>
        <v>제품평가손실</v>
      </c>
      <c r="D33" s="515">
        <f>'T201'!D128</f>
        <v>0</v>
      </c>
      <c r="E33" s="515">
        <f>'T201'!E128</f>
        <v>0</v>
      </c>
      <c r="F33" s="515">
        <f>'T201'!F128</f>
        <v>0</v>
      </c>
      <c r="G33" s="605">
        <f t="shared" si="6"/>
        <v>0</v>
      </c>
      <c r="H33" s="532"/>
    </row>
    <row r="34" spans="1:8" ht="15.75" customHeight="1">
      <c r="A34" s="528"/>
      <c r="B34" s="528"/>
      <c r="C34" s="514" t="str">
        <f>'T201'!C129</f>
        <v>미수수익</v>
      </c>
      <c r="D34" s="515">
        <f>'T201'!D129</f>
        <v>0</v>
      </c>
      <c r="E34" s="515">
        <f>'T201'!E129</f>
        <v>0</v>
      </c>
      <c r="F34" s="515">
        <f>'T201'!F129</f>
        <v>0</v>
      </c>
      <c r="G34" s="605">
        <f t="shared" si="6"/>
        <v>0</v>
      </c>
      <c r="H34" s="532"/>
    </row>
    <row r="35" spans="1:8" ht="15.75" customHeight="1">
      <c r="A35" s="528"/>
      <c r="B35" s="528"/>
      <c r="C35" s="514" t="str">
        <f>'T201'!C130</f>
        <v>마일리지충당금</v>
      </c>
      <c r="D35" s="515">
        <f>'T201'!D130</f>
        <v>0</v>
      </c>
      <c r="E35" s="515">
        <f>'T201'!E130</f>
        <v>0</v>
      </c>
      <c r="F35" s="515">
        <f>'T201'!F130</f>
        <v>0</v>
      </c>
      <c r="G35" s="605">
        <f t="shared" si="6"/>
        <v>0</v>
      </c>
      <c r="H35" s="532"/>
    </row>
    <row r="36" spans="1:8" ht="15.75" customHeight="1">
      <c r="A36" s="528"/>
      <c r="B36" s="528"/>
      <c r="C36" s="514" t="str">
        <f>'T201'!C131</f>
        <v>판매보증충당금</v>
      </c>
      <c r="D36" s="515">
        <f>'T201'!D131</f>
        <v>0</v>
      </c>
      <c r="E36" s="515">
        <f>'T201'!E131</f>
        <v>0</v>
      </c>
      <c r="F36" s="515">
        <f>'T201'!F131</f>
        <v>0</v>
      </c>
      <c r="G36" s="605">
        <f t="shared" si="6"/>
        <v>0</v>
      </c>
      <c r="H36" s="532"/>
    </row>
    <row r="37" spans="1:8" ht="15.75" customHeight="1">
      <c r="A37" s="528"/>
      <c r="B37" s="528"/>
      <c r="C37" s="514" t="str">
        <f>'T201'!C132</f>
        <v>하자보수충당금</v>
      </c>
      <c r="D37" s="515">
        <f>'T201'!D132</f>
        <v>0</v>
      </c>
      <c r="E37" s="515">
        <f>'T201'!E132</f>
        <v>0</v>
      </c>
      <c r="F37" s="515">
        <f>'T201'!F132</f>
        <v>0</v>
      </c>
      <c r="G37" s="609">
        <f t="shared" si="6"/>
        <v>0</v>
      </c>
      <c r="H37" s="532"/>
    </row>
    <row r="38" spans="1:8" ht="15.75" customHeight="1">
      <c r="A38" s="528"/>
      <c r="B38" s="528"/>
      <c r="C38" s="530"/>
      <c r="D38" s="598"/>
      <c r="E38" s="532"/>
      <c r="F38" s="532"/>
      <c r="G38" s="532"/>
      <c r="H38" s="532"/>
    </row>
    <row r="39" spans="1:8" ht="15.75" customHeight="1">
      <c r="A39" s="528"/>
      <c r="B39" s="528"/>
      <c r="C39" s="530"/>
      <c r="D39" s="598"/>
      <c r="E39" s="532"/>
      <c r="F39" s="532"/>
      <c r="G39" s="532"/>
      <c r="H39" s="532"/>
    </row>
    <row r="40" spans="1:8" ht="15.75" customHeight="1">
      <c r="A40" s="528"/>
      <c r="B40" s="528"/>
      <c r="C40" s="530"/>
      <c r="D40" s="598"/>
      <c r="E40" s="532"/>
      <c r="F40" s="532"/>
      <c r="G40" s="532"/>
      <c r="H40" s="532"/>
    </row>
    <row r="41" spans="1:8" ht="15.75" customHeight="1">
      <c r="A41" s="528"/>
      <c r="B41" s="528"/>
      <c r="C41" s="530"/>
      <c r="D41" s="598"/>
      <c r="E41" s="532"/>
      <c r="F41" s="532"/>
      <c r="G41" s="532"/>
      <c r="H41" s="532"/>
    </row>
    <row r="42" spans="1:8" ht="15.75" customHeight="1">
      <c r="A42" s="528"/>
      <c r="B42" s="528"/>
      <c r="C42" s="530"/>
      <c r="D42" s="598"/>
      <c r="E42" s="532"/>
      <c r="F42" s="532"/>
      <c r="G42" s="532"/>
      <c r="H42" s="532"/>
    </row>
    <row r="43" spans="1:8" ht="15.75" customHeight="1">
      <c r="A43" s="528"/>
      <c r="B43" s="528"/>
      <c r="C43" s="530"/>
      <c r="D43" s="598"/>
      <c r="E43" s="532"/>
      <c r="F43" s="532"/>
      <c r="G43" s="532"/>
      <c r="H43" s="532"/>
    </row>
    <row r="44" spans="1:8" ht="15.75" customHeight="1">
      <c r="A44" s="528"/>
      <c r="B44" s="528"/>
      <c r="C44" s="530"/>
      <c r="D44" s="598"/>
      <c r="E44" s="532"/>
      <c r="F44" s="532"/>
      <c r="G44" s="532"/>
      <c r="H44" s="532"/>
    </row>
    <row r="45" spans="1:8" ht="15.75" customHeight="1">
      <c r="A45" s="528"/>
      <c r="B45" s="528"/>
      <c r="C45" s="530"/>
      <c r="D45" s="598"/>
      <c r="E45" s="532"/>
      <c r="F45" s="532"/>
      <c r="G45" s="532"/>
      <c r="H45" s="532"/>
    </row>
    <row r="46" spans="1:8" ht="15.75" customHeight="1">
      <c r="A46" s="528"/>
      <c r="B46" s="528"/>
      <c r="C46" s="530"/>
      <c r="D46" s="598"/>
      <c r="E46" s="532"/>
      <c r="F46" s="532"/>
      <c r="G46" s="532"/>
      <c r="H46" s="532"/>
    </row>
    <row r="47" spans="1:8" ht="15.75" customHeight="1">
      <c r="A47" s="528"/>
      <c r="B47" s="528"/>
      <c r="C47" s="530"/>
      <c r="D47" s="598"/>
      <c r="E47" s="532"/>
      <c r="F47" s="532"/>
      <c r="G47" s="532"/>
      <c r="H47" s="532"/>
    </row>
    <row r="48" spans="1:8" ht="15.75" customHeight="1">
      <c r="A48" s="528"/>
      <c r="B48" s="528"/>
      <c r="C48" s="530"/>
      <c r="D48" s="598"/>
      <c r="E48" s="532"/>
      <c r="F48" s="532"/>
      <c r="G48" s="532"/>
      <c r="H48" s="532"/>
    </row>
    <row r="49" spans="1:9" ht="15.75" customHeight="1">
      <c r="A49" s="528"/>
      <c r="B49" s="528"/>
      <c r="C49" s="530"/>
      <c r="D49" s="598"/>
      <c r="E49" s="532"/>
      <c r="F49" s="532"/>
      <c r="G49" s="532"/>
      <c r="H49" s="532"/>
    </row>
    <row r="50" spans="1:9" ht="15.75" customHeight="1">
      <c r="A50" s="528"/>
      <c r="B50" s="528"/>
      <c r="C50" s="530"/>
      <c r="D50" s="598"/>
      <c r="E50" s="532"/>
      <c r="F50" s="532"/>
      <c r="G50" s="532"/>
      <c r="H50" s="532"/>
    </row>
    <row r="51" spans="1:9" ht="15.75" customHeight="1">
      <c r="A51" s="528"/>
      <c r="B51" s="614"/>
      <c r="C51" s="530"/>
      <c r="D51" s="598"/>
      <c r="E51" s="532"/>
      <c r="F51" s="532"/>
      <c r="G51" s="532"/>
      <c r="H51" s="532"/>
      <c r="I51" s="545"/>
    </row>
    <row r="52" spans="1:9" ht="15.75" customHeight="1">
      <c r="A52" s="528"/>
      <c r="B52" s="614"/>
      <c r="C52" s="598"/>
      <c r="D52" s="598"/>
      <c r="E52" s="532"/>
      <c r="F52" s="532"/>
      <c r="G52" s="532"/>
      <c r="H52" s="532"/>
      <c r="I52" s="545"/>
    </row>
    <row r="53" spans="1:9" ht="15.75" customHeight="1">
      <c r="A53" s="528"/>
      <c r="B53" s="614"/>
      <c r="C53" s="598"/>
      <c r="D53" s="598"/>
      <c r="E53" s="532"/>
      <c r="F53" s="532"/>
      <c r="G53" s="532"/>
      <c r="H53" s="532"/>
      <c r="I53" s="545"/>
    </row>
    <row r="54" spans="1:9" ht="15.75" customHeight="1">
      <c r="A54" s="528"/>
      <c r="B54" s="614"/>
      <c r="C54" s="598"/>
      <c r="D54" s="598"/>
      <c r="E54" s="532"/>
      <c r="F54" s="532"/>
      <c r="G54" s="532"/>
      <c r="H54" s="532"/>
      <c r="I54" s="545"/>
    </row>
    <row r="55" spans="1:9" ht="15.75" customHeight="1">
      <c r="A55" s="528"/>
      <c r="B55" s="614"/>
      <c r="C55" s="598"/>
      <c r="D55" s="598"/>
      <c r="E55" s="532"/>
      <c r="F55" s="532"/>
      <c r="G55" s="532"/>
      <c r="H55" s="532"/>
      <c r="I55" s="545"/>
    </row>
    <row r="56" spans="1:9" ht="15.75" customHeight="1">
      <c r="A56" s="528"/>
      <c r="B56" s="614"/>
      <c r="C56" s="598"/>
      <c r="D56" s="598"/>
      <c r="E56" s="532"/>
      <c r="F56" s="532"/>
      <c r="G56" s="532"/>
      <c r="H56" s="532"/>
      <c r="I56" s="545"/>
    </row>
    <row r="57" spans="1:9" ht="15.75" customHeight="1">
      <c r="A57" s="528"/>
      <c r="B57" s="614"/>
      <c r="C57" s="598"/>
      <c r="D57" s="617"/>
      <c r="E57" s="532"/>
      <c r="F57" s="532"/>
      <c r="G57" s="532"/>
      <c r="H57" s="532"/>
      <c r="I57" s="545"/>
    </row>
    <row r="58" spans="1:9" ht="15.75" customHeight="1">
      <c r="A58" s="528"/>
      <c r="B58" s="614"/>
      <c r="C58" s="530"/>
      <c r="D58" s="598"/>
      <c r="E58" s="532"/>
      <c r="F58" s="532"/>
      <c r="G58" s="532"/>
      <c r="H58" s="532"/>
      <c r="I58" s="545"/>
    </row>
    <row r="59" spans="1:9" ht="15.75" customHeight="1">
      <c r="A59" s="528"/>
      <c r="B59" s="614"/>
      <c r="C59" s="530"/>
      <c r="D59" s="598"/>
      <c r="E59" s="532"/>
      <c r="F59" s="532"/>
      <c r="G59" s="532"/>
      <c r="H59" s="532"/>
      <c r="I59" s="545"/>
    </row>
    <row r="60" spans="1:9" ht="15.75" customHeight="1">
      <c r="A60" s="528"/>
      <c r="B60" s="614"/>
      <c r="C60" s="598"/>
      <c r="D60" s="598"/>
      <c r="E60" s="532"/>
      <c r="F60" s="532"/>
      <c r="G60" s="532"/>
      <c r="H60" s="532"/>
      <c r="I60" s="545"/>
    </row>
    <row r="61" spans="1:9" ht="15.75" customHeight="1">
      <c r="A61" s="528"/>
      <c r="B61" s="614"/>
      <c r="C61" s="598"/>
      <c r="D61" s="598"/>
      <c r="E61" s="532"/>
      <c r="F61" s="532"/>
      <c r="G61" s="532"/>
      <c r="H61" s="532"/>
      <c r="I61" s="545"/>
    </row>
    <row r="62" spans="1:9" ht="15.75" customHeight="1">
      <c r="A62" s="528"/>
      <c r="B62" s="614"/>
      <c r="C62" s="598"/>
      <c r="D62" s="598"/>
      <c r="E62" s="532"/>
      <c r="F62" s="532"/>
      <c r="G62" s="532"/>
      <c r="H62" s="532"/>
      <c r="I62" s="545"/>
    </row>
    <row r="63" spans="1:9" ht="15.75" customHeight="1">
      <c r="A63" s="528"/>
      <c r="B63" s="614"/>
      <c r="C63" s="598"/>
      <c r="D63" s="598"/>
      <c r="E63" s="532"/>
      <c r="F63" s="532"/>
      <c r="G63" s="532"/>
      <c r="H63" s="532"/>
      <c r="I63" s="545"/>
    </row>
    <row r="64" spans="1:9" ht="15.75" customHeight="1">
      <c r="A64" s="528"/>
      <c r="B64" s="614"/>
      <c r="C64" s="598"/>
      <c r="D64" s="598"/>
      <c r="E64" s="532"/>
      <c r="F64" s="532"/>
      <c r="G64" s="532"/>
      <c r="H64" s="532"/>
      <c r="I64" s="545"/>
    </row>
    <row r="65" spans="1:9" ht="15.75" customHeight="1">
      <c r="A65" s="630"/>
      <c r="B65" s="550"/>
      <c r="C65" s="598"/>
      <c r="D65" s="598"/>
      <c r="E65" s="532"/>
      <c r="F65" s="532"/>
      <c r="G65" s="532"/>
      <c r="H65" s="532"/>
      <c r="I65" s="532"/>
    </row>
    <row r="66" spans="1:9" ht="15.75" customHeight="1">
      <c r="A66" s="630"/>
      <c r="B66" s="550"/>
      <c r="C66" s="598"/>
      <c r="D66" s="598"/>
      <c r="E66" s="532"/>
      <c r="F66" s="532"/>
      <c r="G66" s="532"/>
      <c r="H66" s="532"/>
      <c r="I66" s="532"/>
    </row>
    <row r="67" spans="1:9" ht="15.75" customHeight="1">
      <c r="A67" s="630"/>
      <c r="B67" s="550"/>
      <c r="C67" s="598"/>
      <c r="D67" s="598"/>
      <c r="E67" s="532"/>
      <c r="F67" s="532"/>
      <c r="G67" s="532"/>
      <c r="H67" s="532"/>
      <c r="I67" s="532"/>
    </row>
    <row r="68" spans="1:9" ht="15.75" customHeight="1">
      <c r="A68" s="630"/>
      <c r="B68" s="550"/>
      <c r="C68" s="598"/>
      <c r="D68" s="598"/>
      <c r="E68" s="532"/>
      <c r="F68" s="532"/>
      <c r="G68" s="532"/>
      <c r="H68" s="532"/>
      <c r="I68" s="532"/>
    </row>
    <row r="69" spans="1:9" ht="15.75" customHeight="1">
      <c r="A69" s="630"/>
      <c r="B69" s="550"/>
      <c r="C69" s="598"/>
      <c r="D69" s="598"/>
      <c r="E69" s="532"/>
      <c r="F69" s="532"/>
      <c r="G69" s="532"/>
      <c r="H69" s="532"/>
      <c r="I69" s="532"/>
    </row>
    <row r="70" spans="1:9" ht="15.75" customHeight="1">
      <c r="A70" s="630"/>
      <c r="B70" s="550"/>
      <c r="C70" s="598"/>
      <c r="D70" s="598"/>
      <c r="E70" s="532"/>
      <c r="F70" s="532"/>
      <c r="G70" s="532"/>
      <c r="H70" s="532"/>
      <c r="I70" s="532"/>
    </row>
    <row r="71" spans="1:9" ht="15.75" customHeight="1">
      <c r="A71" s="630"/>
      <c r="B71" s="550"/>
      <c r="C71" s="598"/>
      <c r="D71" s="598"/>
      <c r="E71" s="532"/>
      <c r="F71" s="532"/>
      <c r="G71" s="532"/>
      <c r="H71" s="532"/>
      <c r="I71" s="532"/>
    </row>
    <row r="72" spans="1:9" ht="15.75" customHeight="1">
      <c r="A72" s="630"/>
      <c r="B72" s="550"/>
      <c r="C72" s="536"/>
      <c r="D72" s="532"/>
      <c r="E72" s="532"/>
      <c r="F72" s="532"/>
      <c r="G72" s="532"/>
      <c r="H72" s="532"/>
      <c r="I72" s="532"/>
    </row>
    <row r="73" spans="1:9" ht="15.75" customHeight="1">
      <c r="A73" s="630"/>
      <c r="B73" s="550"/>
      <c r="C73" s="598"/>
      <c r="D73" s="598"/>
      <c r="E73" s="598"/>
      <c r="F73" s="598"/>
      <c r="G73" s="598"/>
      <c r="H73" s="532"/>
      <c r="I73" s="532"/>
    </row>
    <row r="74" spans="1:9" ht="15.75" customHeight="1">
      <c r="A74" s="639"/>
      <c r="B74" s="530"/>
      <c r="C74" s="598"/>
      <c r="D74" s="598"/>
      <c r="E74" s="598"/>
      <c r="F74" s="598"/>
      <c r="G74" s="598"/>
      <c r="H74" s="532"/>
      <c r="I74" s="532"/>
    </row>
    <row r="75" spans="1:9" ht="15.75" customHeight="1">
      <c r="A75" s="639"/>
      <c r="B75" s="530"/>
      <c r="C75" s="598"/>
      <c r="D75" s="598"/>
      <c r="E75" s="598"/>
      <c r="F75" s="598"/>
      <c r="G75" s="598"/>
      <c r="H75" s="532"/>
      <c r="I75" s="532"/>
    </row>
    <row r="76" spans="1:9" ht="15.75" customHeight="1">
      <c r="A76" s="639"/>
      <c r="B76" s="530"/>
      <c r="C76" s="530"/>
      <c r="D76" s="598"/>
      <c r="E76" s="598"/>
      <c r="F76" s="598"/>
      <c r="G76" s="598"/>
      <c r="H76" s="532"/>
      <c r="I76" s="532"/>
    </row>
    <row r="77" spans="1:9" ht="15.75" customHeight="1">
      <c r="A77" s="639"/>
      <c r="B77" s="530"/>
      <c r="C77" s="598"/>
      <c r="D77" s="598"/>
      <c r="E77" s="598"/>
      <c r="F77" s="598"/>
      <c r="G77" s="598"/>
      <c r="H77" s="532"/>
      <c r="I77" s="532"/>
    </row>
    <row r="78" spans="1:9" ht="15.75" customHeight="1">
      <c r="A78" s="639"/>
      <c r="B78" s="530"/>
      <c r="C78" s="598"/>
      <c r="D78" s="598"/>
      <c r="E78" s="598"/>
      <c r="F78" s="598"/>
      <c r="G78" s="598"/>
      <c r="H78" s="532"/>
      <c r="I78" s="532"/>
    </row>
    <row r="79" spans="1:9" ht="15.75" customHeight="1">
      <c r="A79" s="639"/>
      <c r="B79" s="530"/>
      <c r="C79" s="530"/>
      <c r="D79" s="598"/>
      <c r="E79" s="598"/>
      <c r="F79" s="598"/>
      <c r="G79" s="532"/>
      <c r="H79" s="532"/>
      <c r="I79" s="532"/>
    </row>
    <row r="80" spans="1:9" ht="15.75" customHeight="1">
      <c r="A80" s="639"/>
      <c r="B80" s="530"/>
      <c r="C80" s="530"/>
      <c r="D80" s="598"/>
      <c r="E80" s="598"/>
      <c r="F80" s="598"/>
      <c r="G80" s="598"/>
      <c r="H80" s="532"/>
      <c r="I80" s="532"/>
    </row>
    <row r="81" spans="1:9" ht="15.75" customHeight="1">
      <c r="A81" s="639"/>
      <c r="B81" s="530"/>
      <c r="C81" s="598"/>
      <c r="D81" s="598"/>
      <c r="E81" s="598"/>
      <c r="F81" s="598"/>
      <c r="G81" s="598"/>
      <c r="H81" s="532"/>
      <c r="I81" s="532"/>
    </row>
    <row r="82" spans="1:9" ht="15.75" customHeight="1">
      <c r="A82" s="639"/>
      <c r="B82" s="530"/>
      <c r="C82" s="598"/>
      <c r="D82" s="598"/>
      <c r="E82" s="598"/>
      <c r="F82" s="598"/>
      <c r="G82" s="598"/>
      <c r="H82" s="532"/>
      <c r="I82" s="532"/>
    </row>
    <row r="83" spans="1:9" ht="15.75" customHeight="1">
      <c r="A83" s="639"/>
      <c r="B83" s="530"/>
      <c r="C83" s="598"/>
      <c r="D83" s="598"/>
      <c r="E83" s="598"/>
      <c r="F83" s="598"/>
      <c r="G83" s="598"/>
      <c r="H83" s="532"/>
      <c r="I83" s="532"/>
    </row>
    <row r="84" spans="1:9" ht="15.75" customHeight="1">
      <c r="A84" s="639"/>
      <c r="B84" s="530"/>
      <c r="C84" s="598"/>
      <c r="D84" s="598"/>
      <c r="E84" s="598"/>
      <c r="F84" s="598"/>
      <c r="G84" s="598"/>
      <c r="H84" s="532"/>
      <c r="I84" s="532"/>
    </row>
    <row r="85" spans="1:9" ht="15.75" customHeight="1">
      <c r="A85" s="639"/>
      <c r="B85" s="530"/>
      <c r="C85" s="598"/>
      <c r="D85" s="598"/>
      <c r="E85" s="598"/>
      <c r="F85" s="598"/>
      <c r="G85" s="598"/>
      <c r="H85" s="532"/>
      <c r="I85" s="532"/>
    </row>
    <row r="86" spans="1:9" ht="15.75" customHeight="1">
      <c r="A86" s="639"/>
      <c r="B86" s="530"/>
      <c r="C86" s="598"/>
      <c r="D86" s="598"/>
      <c r="E86" s="598"/>
      <c r="F86" s="598"/>
      <c r="G86" s="598"/>
      <c r="H86" s="532"/>
      <c r="I86" s="532"/>
    </row>
    <row r="87" spans="1:9" ht="15.75" customHeight="1">
      <c r="A87" s="639"/>
      <c r="B87" s="530"/>
      <c r="C87" s="598"/>
      <c r="D87" s="598"/>
      <c r="E87" s="598"/>
      <c r="F87" s="598"/>
      <c r="G87" s="598"/>
      <c r="H87" s="532"/>
      <c r="I87" s="532"/>
    </row>
    <row r="88" spans="1:9" ht="15.75" customHeight="1">
      <c r="A88" s="537"/>
      <c r="B88" s="537"/>
      <c r="C88" s="530"/>
      <c r="D88" s="598"/>
      <c r="E88" s="598"/>
      <c r="F88" s="598"/>
      <c r="G88" s="598"/>
      <c r="H88" s="532"/>
    </row>
    <row r="89" spans="1:9" ht="15.75" customHeight="1">
      <c r="A89" s="537"/>
      <c r="B89" s="537"/>
      <c r="C89" s="530"/>
      <c r="D89" s="598"/>
      <c r="E89" s="598"/>
      <c r="F89" s="598"/>
      <c r="G89" s="598"/>
      <c r="H89" s="532"/>
    </row>
    <row r="90" spans="1:9" ht="15.75" customHeight="1">
      <c r="A90" s="537"/>
      <c r="B90" s="537"/>
      <c r="C90" s="530"/>
      <c r="D90" s="598"/>
      <c r="E90" s="598"/>
      <c r="F90" s="598"/>
      <c r="G90" s="598"/>
      <c r="H90" s="532"/>
    </row>
    <row r="91" spans="1:9" ht="15.75" customHeight="1">
      <c r="A91" s="537"/>
      <c r="B91" s="537"/>
      <c r="C91" s="530"/>
      <c r="D91" s="598"/>
      <c r="E91" s="598"/>
      <c r="F91" s="598"/>
      <c r="G91" s="598"/>
      <c r="H91" s="532"/>
    </row>
    <row r="92" spans="1:9" ht="15.75" customHeight="1">
      <c r="A92" s="537"/>
      <c r="B92" s="537"/>
      <c r="C92" s="598"/>
      <c r="D92" s="598"/>
      <c r="E92" s="598"/>
      <c r="F92" s="598"/>
      <c r="G92" s="598"/>
      <c r="H92" s="532"/>
    </row>
    <row r="93" spans="1:9" ht="15.75" customHeight="1">
      <c r="A93" s="537"/>
      <c r="B93" s="537"/>
      <c r="C93" s="530"/>
      <c r="D93" s="598"/>
      <c r="E93" s="598"/>
      <c r="F93" s="598"/>
      <c r="G93" s="598"/>
      <c r="H93" s="532"/>
    </row>
    <row r="94" spans="1:9" ht="15.75" customHeight="1">
      <c r="A94" s="537"/>
      <c r="B94" s="537"/>
      <c r="C94" s="530"/>
      <c r="D94" s="598"/>
      <c r="E94" s="598"/>
      <c r="F94" s="598"/>
      <c r="G94" s="598"/>
      <c r="H94" s="532"/>
    </row>
    <row r="95" spans="1:9" ht="15.75" customHeight="1">
      <c r="A95" s="537"/>
      <c r="B95" s="537"/>
      <c r="C95" s="530"/>
      <c r="D95" s="598"/>
      <c r="E95" s="598"/>
      <c r="F95" s="598"/>
      <c r="G95" s="598"/>
      <c r="H95" s="532"/>
    </row>
    <row r="96" spans="1:9" ht="15.75" customHeight="1">
      <c r="A96" s="537"/>
      <c r="B96" s="537"/>
      <c r="C96" s="530"/>
      <c r="D96" s="598"/>
      <c r="E96" s="598"/>
      <c r="F96" s="598"/>
      <c r="G96" s="598"/>
      <c r="H96" s="532"/>
    </row>
    <row r="97" spans="1:8" ht="15.75" customHeight="1">
      <c r="A97" s="537"/>
      <c r="B97" s="537"/>
      <c r="C97" s="530"/>
      <c r="D97" s="598"/>
      <c r="E97" s="598"/>
      <c r="F97" s="598"/>
      <c r="G97" s="598"/>
      <c r="H97" s="532"/>
    </row>
    <row r="98" spans="1:8" ht="15.75" customHeight="1">
      <c r="A98" s="537"/>
      <c r="B98" s="537"/>
      <c r="C98" s="598"/>
      <c r="D98" s="598"/>
      <c r="E98" s="598"/>
      <c r="F98" s="598"/>
      <c r="G98" s="598"/>
      <c r="H98" s="532"/>
    </row>
    <row r="99" spans="1:8" ht="15.75" customHeight="1">
      <c r="A99" s="537"/>
      <c r="B99" s="537"/>
      <c r="C99" s="598"/>
      <c r="D99" s="598"/>
      <c r="E99" s="598"/>
      <c r="F99" s="598"/>
      <c r="G99" s="598"/>
      <c r="H99" s="532"/>
    </row>
    <row r="100" spans="1:8" ht="15.75" customHeight="1">
      <c r="A100" s="537"/>
      <c r="B100" s="537"/>
      <c r="C100" s="598"/>
      <c r="D100" s="598"/>
      <c r="E100" s="598"/>
      <c r="F100" s="598"/>
      <c r="G100" s="598"/>
      <c r="H100" s="532"/>
    </row>
    <row r="101" spans="1:8" ht="15.75" customHeight="1">
      <c r="A101" s="537"/>
      <c r="B101" s="537"/>
      <c r="C101" s="598"/>
      <c r="D101" s="598"/>
      <c r="E101" s="598"/>
      <c r="F101" s="598"/>
      <c r="G101" s="598"/>
      <c r="H101" s="532"/>
    </row>
    <row r="102" spans="1:8" ht="15.75" customHeight="1">
      <c r="A102" s="537"/>
      <c r="B102" s="537"/>
      <c r="C102" s="530"/>
      <c r="D102" s="598"/>
      <c r="E102" s="598"/>
      <c r="F102" s="598"/>
      <c r="G102" s="598"/>
      <c r="H102" s="532"/>
    </row>
    <row r="103" spans="1:8" ht="15.75" customHeight="1">
      <c r="A103" s="537"/>
      <c r="B103" s="537"/>
      <c r="C103" s="530"/>
      <c r="D103" s="598"/>
      <c r="E103" s="598"/>
      <c r="F103" s="598"/>
      <c r="G103" s="598"/>
      <c r="H103" s="532"/>
    </row>
    <row r="104" spans="1:8" ht="15.75" customHeight="1">
      <c r="A104" s="537"/>
      <c r="B104" s="537"/>
      <c r="C104" s="598"/>
      <c r="D104" s="598"/>
      <c r="E104" s="598"/>
      <c r="F104" s="598"/>
      <c r="G104" s="598"/>
      <c r="H104" s="532"/>
    </row>
    <row r="105" spans="1:8" ht="15.75" customHeight="1">
      <c r="A105" s="538"/>
      <c r="B105" s="538"/>
      <c r="C105" s="598"/>
      <c r="D105" s="598"/>
      <c r="E105" s="598"/>
      <c r="F105" s="598"/>
      <c r="G105" s="598"/>
      <c r="H105" s="532"/>
    </row>
    <row r="106" spans="1:8" ht="15.75" customHeight="1">
      <c r="A106" s="538"/>
      <c r="B106" s="538"/>
      <c r="C106" s="598"/>
      <c r="D106" s="598"/>
      <c r="E106" s="598"/>
      <c r="F106" s="598"/>
      <c r="G106" s="598"/>
      <c r="H106" s="532"/>
    </row>
    <row r="107" spans="1:8" ht="15.75" customHeight="1">
      <c r="A107" s="538"/>
      <c r="B107" s="538"/>
      <c r="C107" s="598"/>
      <c r="D107" s="598"/>
      <c r="E107" s="598"/>
      <c r="F107" s="598"/>
      <c r="G107" s="598"/>
      <c r="H107" s="532"/>
    </row>
    <row r="108" spans="1:8" ht="15.75" customHeight="1">
      <c r="A108" s="538"/>
      <c r="B108" s="538"/>
      <c r="C108" s="598"/>
      <c r="D108" s="598"/>
      <c r="E108" s="598"/>
      <c r="F108" s="598"/>
      <c r="G108" s="598"/>
      <c r="H108" s="532"/>
    </row>
    <row r="109" spans="1:8" ht="15.75" customHeight="1">
      <c r="A109" s="538"/>
      <c r="B109" s="538"/>
      <c r="C109" s="598"/>
      <c r="D109" s="598"/>
      <c r="E109" s="598"/>
      <c r="F109" s="598"/>
      <c r="G109" s="598"/>
      <c r="H109" s="532"/>
    </row>
    <row r="110" spans="1:8" ht="15.75" customHeight="1">
      <c r="A110" s="538"/>
      <c r="B110" s="538"/>
      <c r="C110" s="530"/>
      <c r="D110" s="598"/>
      <c r="E110" s="598"/>
      <c r="F110" s="598"/>
      <c r="G110" s="598"/>
      <c r="H110" s="532"/>
    </row>
    <row r="111" spans="1:8" ht="15.75" customHeight="1">
      <c r="A111" s="538"/>
      <c r="B111" s="538"/>
      <c r="C111" s="530"/>
      <c r="D111" s="598"/>
      <c r="E111" s="598"/>
      <c r="F111" s="598"/>
      <c r="G111" s="598"/>
      <c r="H111" s="532"/>
    </row>
    <row r="112" spans="1:8" ht="15.75" customHeight="1">
      <c r="A112" s="538"/>
      <c r="B112" s="538"/>
      <c r="C112" s="598"/>
      <c r="D112" s="598"/>
      <c r="E112" s="598"/>
      <c r="F112" s="598"/>
      <c r="G112" s="598"/>
      <c r="H112" s="532"/>
    </row>
    <row r="113" spans="1:8" ht="15.75" customHeight="1">
      <c r="A113" s="539"/>
      <c r="B113" s="539"/>
      <c r="C113" s="532"/>
      <c r="D113" s="532"/>
      <c r="E113" s="532"/>
      <c r="F113" s="532"/>
      <c r="G113" s="532"/>
      <c r="H113" s="532"/>
    </row>
    <row r="114" spans="1:8" ht="15.75" customHeight="1">
      <c r="A114" s="539"/>
      <c r="B114" s="539"/>
      <c r="C114" s="532"/>
      <c r="D114" s="532"/>
      <c r="E114" s="532"/>
      <c r="F114" s="532"/>
      <c r="G114" s="532"/>
      <c r="H114" s="532"/>
    </row>
    <row r="115" spans="1:8" ht="15.75" customHeight="1">
      <c r="A115" s="539"/>
      <c r="B115" s="539"/>
      <c r="C115" s="598"/>
      <c r="D115" s="598"/>
      <c r="E115" s="532"/>
      <c r="F115" s="532"/>
      <c r="G115" s="532"/>
      <c r="H115" s="532"/>
    </row>
    <row r="116" spans="1:8" ht="15.75" customHeight="1">
      <c r="A116" s="539"/>
      <c r="B116" s="539"/>
      <c r="C116" s="532"/>
      <c r="D116" s="532"/>
      <c r="E116" s="532"/>
      <c r="F116" s="532"/>
      <c r="G116" s="532"/>
      <c r="H116" s="532"/>
    </row>
    <row r="117" spans="1:8" ht="15.75" customHeight="1">
      <c r="A117" s="540"/>
      <c r="B117" s="540"/>
      <c r="C117" s="541"/>
      <c r="D117" s="536"/>
      <c r="E117" s="536"/>
      <c r="F117" s="532"/>
      <c r="G117" s="532"/>
      <c r="H117" s="532"/>
    </row>
    <row r="118" spans="1:8" ht="15.75" customHeight="1">
      <c r="A118" s="529"/>
      <c r="B118" s="529"/>
      <c r="C118" s="536"/>
      <c r="D118" s="536"/>
      <c r="E118" s="536"/>
      <c r="F118" s="532"/>
      <c r="G118" s="532"/>
      <c r="H118" s="532"/>
    </row>
    <row r="119" spans="1:8" ht="15.75" customHeight="1">
      <c r="A119" s="539"/>
      <c r="B119" s="539"/>
      <c r="C119" s="532"/>
      <c r="D119" s="532"/>
      <c r="E119" s="532"/>
      <c r="F119" s="532"/>
      <c r="G119" s="532"/>
      <c r="H119" s="532"/>
    </row>
    <row r="120" spans="1:8" ht="15.75" customHeight="1">
      <c r="A120" s="539"/>
      <c r="B120" s="539"/>
      <c r="C120" s="532"/>
      <c r="D120" s="532"/>
      <c r="E120" s="532"/>
      <c r="F120" s="532"/>
      <c r="G120" s="532"/>
      <c r="H120" s="532"/>
    </row>
    <row r="121" spans="1:8" s="544" customFormat="1" ht="15.75" customHeight="1">
      <c r="A121" s="542"/>
      <c r="B121" s="542"/>
      <c r="C121" s="543"/>
      <c r="D121" s="543"/>
      <c r="E121" s="543"/>
      <c r="F121" s="536"/>
      <c r="G121" s="536"/>
      <c r="H121" s="536"/>
    </row>
    <row r="122" spans="1:8" s="544" customFormat="1" ht="15.75" customHeight="1">
      <c r="A122" s="529"/>
      <c r="B122" s="529"/>
      <c r="C122" s="536"/>
      <c r="D122" s="536"/>
      <c r="E122" s="536"/>
      <c r="F122" s="536"/>
      <c r="G122" s="536"/>
      <c r="H122" s="536"/>
    </row>
    <row r="123" spans="1:8" s="544" customFormat="1" ht="15.75" customHeight="1">
      <c r="A123" s="542"/>
      <c r="B123" s="542"/>
      <c r="C123" s="536"/>
      <c r="D123" s="536"/>
      <c r="E123" s="536"/>
      <c r="F123" s="536"/>
      <c r="G123" s="536"/>
      <c r="H123" s="536"/>
    </row>
    <row r="124" spans="1:8" s="544" customFormat="1" ht="15.75" customHeight="1">
      <c r="A124" s="540"/>
      <c r="B124" s="540"/>
      <c r="C124" s="536"/>
      <c r="D124" s="536"/>
      <c r="E124" s="536"/>
      <c r="F124" s="536"/>
      <c r="G124" s="536"/>
      <c r="H124" s="536"/>
    </row>
    <row r="125" spans="1:8" s="544" customFormat="1" ht="15.75" customHeight="1">
      <c r="A125" s="529"/>
      <c r="B125" s="529"/>
      <c r="C125" s="536"/>
      <c r="D125" s="536"/>
      <c r="E125" s="536"/>
      <c r="F125" s="536"/>
      <c r="G125" s="536"/>
      <c r="H125" s="536"/>
    </row>
    <row r="126" spans="1:8" s="544" customFormat="1" ht="15.75" customHeight="1">
      <c r="A126" s="529"/>
      <c r="B126" s="529"/>
      <c r="C126" s="536"/>
      <c r="D126" s="536"/>
      <c r="E126" s="536"/>
      <c r="F126" s="536"/>
      <c r="G126" s="536"/>
      <c r="H126" s="536"/>
    </row>
    <row r="127" spans="1:8" s="544" customFormat="1" ht="15.75" customHeight="1">
      <c r="A127" s="529"/>
      <c r="B127" s="529"/>
      <c r="C127" s="536"/>
      <c r="D127" s="536"/>
      <c r="E127" s="536"/>
      <c r="F127" s="536"/>
      <c r="G127" s="536"/>
      <c r="H127" s="536"/>
    </row>
    <row r="128" spans="1:8" ht="15.75" customHeight="1">
      <c r="A128" s="545"/>
      <c r="B128" s="545"/>
      <c r="C128" s="536"/>
      <c r="D128" s="532"/>
      <c r="E128" s="532"/>
      <c r="F128" s="532"/>
      <c r="G128" s="532"/>
      <c r="H128" s="532"/>
    </row>
    <row r="129" spans="1:8" ht="15.75" customHeight="1">
      <c r="A129" s="545"/>
      <c r="B129" s="545"/>
      <c r="C129" s="532"/>
      <c r="D129" s="532"/>
      <c r="E129" s="532"/>
      <c r="F129" s="532"/>
      <c r="G129" s="532"/>
      <c r="H129" s="532"/>
    </row>
    <row r="130" spans="1:8" ht="15.75" customHeight="1">
      <c r="A130" s="545"/>
      <c r="B130" s="545"/>
      <c r="C130" s="532"/>
      <c r="D130" s="532"/>
      <c r="E130" s="532"/>
      <c r="F130" s="532"/>
      <c r="G130" s="532"/>
      <c r="H130" s="532"/>
    </row>
    <row r="131" spans="1:8" ht="15.75" customHeight="1">
      <c r="A131" s="545"/>
      <c r="B131" s="545"/>
      <c r="C131" s="532"/>
      <c r="D131" s="532"/>
      <c r="E131" s="532"/>
      <c r="F131" s="532"/>
      <c r="G131" s="532"/>
      <c r="H131" s="532"/>
    </row>
    <row r="132" spans="1:8" ht="15.75" customHeight="1">
      <c r="A132" s="545"/>
      <c r="B132" s="545"/>
      <c r="C132" s="532"/>
      <c r="D132" s="532"/>
      <c r="E132" s="532"/>
      <c r="F132" s="532"/>
      <c r="G132" s="532"/>
      <c r="H132" s="532"/>
    </row>
    <row r="133" spans="1:8" ht="15.75" customHeight="1">
      <c r="A133" s="545"/>
      <c r="B133" s="545"/>
      <c r="C133" s="532"/>
      <c r="D133" s="532"/>
      <c r="E133" s="532"/>
      <c r="F133" s="532"/>
      <c r="G133" s="532"/>
      <c r="H133" s="532"/>
    </row>
    <row r="134" spans="1:8" ht="15.75" customHeight="1">
      <c r="A134" s="545"/>
      <c r="B134" s="545"/>
      <c r="C134" s="532"/>
      <c r="D134" s="532"/>
      <c r="E134" s="532"/>
      <c r="F134" s="532"/>
      <c r="G134" s="532"/>
      <c r="H134" s="532"/>
    </row>
    <row r="135" spans="1:8" ht="15.75" customHeight="1">
      <c r="A135" s="545"/>
      <c r="B135" s="545"/>
      <c r="C135" s="532"/>
      <c r="D135" s="532"/>
      <c r="E135" s="532"/>
      <c r="F135" s="532"/>
      <c r="G135" s="532"/>
      <c r="H135" s="532"/>
    </row>
    <row r="136" spans="1:8" ht="15.75" customHeight="1">
      <c r="C136" s="532"/>
      <c r="D136" s="532"/>
      <c r="E136" s="532"/>
      <c r="F136" s="532"/>
      <c r="G136" s="532"/>
      <c r="H136" s="532"/>
    </row>
    <row r="137" spans="1:8" ht="15.75" customHeight="1">
      <c r="C137" s="532"/>
      <c r="D137" s="532"/>
      <c r="E137" s="532"/>
      <c r="F137" s="532"/>
      <c r="G137" s="532"/>
      <c r="H137" s="532"/>
    </row>
    <row r="138" spans="1:8" ht="15.75" customHeight="1">
      <c r="C138" s="532"/>
      <c r="D138" s="532"/>
      <c r="E138" s="532"/>
      <c r="F138" s="532"/>
      <c r="G138" s="532"/>
      <c r="H138" s="532"/>
    </row>
    <row r="139" spans="1:8" ht="15.75" customHeight="1">
      <c r="C139" s="532"/>
      <c r="D139" s="532"/>
      <c r="E139" s="532"/>
      <c r="F139" s="532"/>
      <c r="G139" s="532"/>
      <c r="H139" s="532"/>
    </row>
    <row r="140" spans="1:8" ht="15.75" customHeight="1">
      <c r="C140" s="532"/>
      <c r="D140" s="532"/>
      <c r="E140" s="532"/>
      <c r="F140" s="532"/>
      <c r="G140" s="532"/>
      <c r="H140" s="532"/>
    </row>
    <row r="141" spans="1:8" ht="15.75" customHeight="1">
      <c r="C141" s="532"/>
      <c r="D141" s="532"/>
      <c r="E141" s="532"/>
      <c r="F141" s="532"/>
      <c r="G141" s="532"/>
      <c r="H141" s="532"/>
    </row>
    <row r="142" spans="1:8" ht="15.75" customHeight="1">
      <c r="C142" s="532"/>
      <c r="D142" s="532"/>
      <c r="E142" s="532"/>
      <c r="F142" s="532"/>
      <c r="G142" s="532"/>
      <c r="H142" s="532"/>
    </row>
    <row r="143" spans="1:8" ht="15.75" customHeight="1">
      <c r="C143" s="532"/>
      <c r="D143" s="532"/>
      <c r="E143" s="532"/>
      <c r="F143" s="532"/>
      <c r="G143" s="532"/>
      <c r="H143" s="532"/>
    </row>
    <row r="144" spans="1:8" ht="15.75" customHeight="1">
      <c r="C144" s="532"/>
      <c r="D144" s="532"/>
      <c r="E144" s="532"/>
      <c r="F144" s="532"/>
      <c r="G144" s="532"/>
      <c r="H144" s="532"/>
    </row>
    <row r="145" spans="3:8" ht="15.75" customHeight="1">
      <c r="C145" s="532"/>
      <c r="D145" s="532"/>
      <c r="E145" s="532"/>
      <c r="F145" s="532"/>
      <c r="G145" s="532"/>
      <c r="H145" s="532"/>
    </row>
    <row r="146" spans="3:8" ht="15.75" customHeight="1">
      <c r="C146" s="532"/>
      <c r="D146" s="532"/>
      <c r="E146" s="532"/>
      <c r="F146" s="532"/>
      <c r="G146" s="532"/>
      <c r="H146" s="532"/>
    </row>
    <row r="147" spans="3:8" ht="15.75" customHeight="1">
      <c r="C147" s="532"/>
      <c r="D147" s="532"/>
      <c r="E147" s="532"/>
      <c r="F147" s="532"/>
      <c r="G147" s="532"/>
      <c r="H147" s="532"/>
    </row>
    <row r="148" spans="3:8" ht="15.75" customHeight="1">
      <c r="C148" s="532"/>
      <c r="D148" s="532"/>
      <c r="E148" s="532"/>
      <c r="F148" s="532"/>
      <c r="G148" s="532"/>
      <c r="H148" s="532"/>
    </row>
    <row r="149" spans="3:8" ht="15.75" customHeight="1">
      <c r="C149" s="532"/>
      <c r="D149" s="532"/>
      <c r="E149" s="532"/>
      <c r="F149" s="532"/>
      <c r="G149" s="532"/>
      <c r="H149" s="532"/>
    </row>
    <row r="150" spans="3:8" ht="15.75" customHeight="1">
      <c r="C150" s="532"/>
      <c r="D150" s="532"/>
      <c r="E150" s="532"/>
      <c r="F150" s="532"/>
      <c r="G150" s="532"/>
      <c r="H150" s="532"/>
    </row>
    <row r="151" spans="3:8" ht="15.75" customHeight="1">
      <c r="C151" s="532"/>
      <c r="D151" s="532"/>
      <c r="E151" s="532"/>
      <c r="F151" s="532"/>
      <c r="G151" s="532"/>
      <c r="H151" s="532"/>
    </row>
    <row r="152" spans="3:8" ht="15.75" customHeight="1">
      <c r="C152" s="532"/>
      <c r="D152" s="532"/>
      <c r="E152" s="532"/>
      <c r="F152" s="532"/>
      <c r="G152" s="532"/>
      <c r="H152" s="532"/>
    </row>
    <row r="153" spans="3:8" ht="15.75" customHeight="1">
      <c r="C153" s="532"/>
      <c r="D153" s="532"/>
      <c r="E153" s="532"/>
      <c r="F153" s="532"/>
      <c r="G153" s="532"/>
      <c r="H153" s="532"/>
    </row>
    <row r="154" spans="3:8" ht="15.75" customHeight="1">
      <c r="C154" s="532"/>
      <c r="D154" s="532"/>
      <c r="E154" s="532"/>
      <c r="F154" s="532"/>
      <c r="G154" s="532"/>
      <c r="H154" s="532"/>
    </row>
    <row r="155" spans="3:8" ht="15.75" customHeight="1">
      <c r="C155" s="532"/>
      <c r="D155" s="532"/>
      <c r="E155" s="532"/>
      <c r="F155" s="532"/>
      <c r="G155" s="532"/>
      <c r="H155" s="532"/>
    </row>
    <row r="156" spans="3:8" ht="15.75" customHeight="1">
      <c r="C156" s="532"/>
      <c r="D156" s="532"/>
      <c r="E156" s="532"/>
      <c r="F156" s="532"/>
      <c r="G156" s="532"/>
      <c r="H156" s="532"/>
    </row>
    <row r="157" spans="3:8" ht="15.75" customHeight="1">
      <c r="C157" s="532"/>
      <c r="D157" s="532"/>
      <c r="E157" s="532"/>
      <c r="F157" s="532"/>
      <c r="G157" s="532"/>
      <c r="H157" s="532"/>
    </row>
    <row r="158" spans="3:8" ht="15.75" customHeight="1">
      <c r="C158" s="532"/>
      <c r="D158" s="532"/>
      <c r="E158" s="532"/>
      <c r="F158" s="532"/>
      <c r="G158" s="532"/>
      <c r="H158" s="532"/>
    </row>
    <row r="159" spans="3:8" ht="15.75" customHeight="1">
      <c r="C159" s="532"/>
      <c r="D159" s="532"/>
      <c r="E159" s="532"/>
      <c r="F159" s="532"/>
      <c r="G159" s="532"/>
      <c r="H159" s="532"/>
    </row>
    <row r="160" spans="3:8" ht="15.75" customHeight="1">
      <c r="C160" s="532"/>
      <c r="D160" s="532"/>
      <c r="E160" s="532"/>
      <c r="F160" s="532"/>
      <c r="G160" s="532"/>
      <c r="H160" s="532"/>
    </row>
    <row r="161" spans="3:8" ht="15.75" customHeight="1">
      <c r="C161" s="532"/>
      <c r="D161" s="532"/>
      <c r="E161" s="532"/>
      <c r="F161" s="532"/>
      <c r="G161" s="532"/>
      <c r="H161" s="532"/>
    </row>
    <row r="162" spans="3:8" ht="15.75" customHeight="1">
      <c r="C162" s="532"/>
      <c r="D162" s="532"/>
      <c r="E162" s="532"/>
      <c r="F162" s="532"/>
      <c r="G162" s="532"/>
      <c r="H162" s="532"/>
    </row>
    <row r="163" spans="3:8" ht="15.75" customHeight="1">
      <c r="C163" s="532"/>
      <c r="D163" s="532"/>
      <c r="E163" s="532"/>
      <c r="F163" s="532"/>
      <c r="G163" s="532"/>
      <c r="H163" s="532"/>
    </row>
    <row r="164" spans="3:8" ht="15.75" customHeight="1">
      <c r="C164" s="532"/>
      <c r="D164" s="532"/>
      <c r="E164" s="532"/>
      <c r="F164" s="532"/>
      <c r="G164" s="532"/>
      <c r="H164" s="532"/>
    </row>
    <row r="165" spans="3:8" ht="15.75" customHeight="1">
      <c r="C165" s="532"/>
      <c r="D165" s="532"/>
      <c r="E165" s="532"/>
      <c r="F165" s="532"/>
      <c r="G165" s="532"/>
      <c r="H165" s="532"/>
    </row>
  </sheetData>
  <sheetProtection password="C09E" sheet="1" objects="1" scenarios="1" selectLockedCells="1" selectUnlockedCells="1"/>
  <mergeCells count="3">
    <mergeCell ref="E2:E3"/>
    <mergeCell ref="F2:F3"/>
    <mergeCell ref="G2:G3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00B050"/>
  </sheetPr>
  <dimension ref="A1:M159"/>
  <sheetViews>
    <sheetView zoomScaleSheetLayoutView="85" workbookViewId="0">
      <selection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13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13" s="503" customFormat="1" ht="15.75" customHeight="1">
      <c r="A2" s="500" t="str">
        <f>기본사항!G2&amp;"년 세무조정 - 기타조정"</f>
        <v>2011년 세무조정 - 기타조정</v>
      </c>
      <c r="B2" s="501"/>
      <c r="C2" s="501"/>
      <c r="D2" s="501"/>
      <c r="E2" s="1342" t="s">
        <v>2364</v>
      </c>
      <c r="F2" s="1344">
        <f>기본사항!$C$14</f>
        <v>40563</v>
      </c>
      <c r="G2" s="1345" t="str">
        <f>기본사항!$C$17</f>
        <v>Kbj</v>
      </c>
      <c r="H2" s="591" t="s">
        <v>2493</v>
      </c>
    </row>
    <row r="3" spans="1:13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 t="s">
        <v>2494</v>
      </c>
    </row>
    <row r="5" spans="1:13" ht="15.75" customHeight="1">
      <c r="A5" s="505" t="s">
        <v>2341</v>
      </c>
      <c r="B5" s="505"/>
      <c r="J5" s="545"/>
      <c r="K5" s="545"/>
      <c r="L5" s="545"/>
      <c r="M5" s="545"/>
    </row>
    <row r="6" spans="1:13" ht="15.75" customHeight="1">
      <c r="C6" s="507" t="s">
        <v>2342</v>
      </c>
      <c r="D6" s="508"/>
      <c r="E6" s="508"/>
      <c r="F6" s="508" t="s">
        <v>2343</v>
      </c>
      <c r="G6" s="508"/>
      <c r="H6" s="509"/>
      <c r="J6" s="545"/>
      <c r="K6" s="545"/>
      <c r="L6" s="545"/>
      <c r="M6" s="545"/>
    </row>
    <row r="7" spans="1:13" ht="15.75" customHeight="1">
      <c r="C7" s="510" t="s">
        <v>2344</v>
      </c>
      <c r="D7" s="511" t="s">
        <v>2345</v>
      </c>
      <c r="E7" s="511" t="s">
        <v>2346</v>
      </c>
      <c r="F7" s="511" t="s">
        <v>2344</v>
      </c>
      <c r="G7" s="511" t="s">
        <v>2345</v>
      </c>
      <c r="H7" s="512" t="s">
        <v>2346</v>
      </c>
      <c r="J7" s="568"/>
      <c r="K7" s="568"/>
      <c r="L7" s="568"/>
      <c r="M7" s="568"/>
    </row>
    <row r="8" spans="1:13" ht="15.75" customHeight="1">
      <c r="C8" s="514"/>
      <c r="D8" s="515"/>
      <c r="E8" s="601"/>
      <c r="F8" s="516"/>
      <c r="G8" s="515"/>
      <c r="H8" s="554"/>
      <c r="J8" s="569"/>
      <c r="K8" s="569"/>
      <c r="L8" s="569"/>
      <c r="M8" s="569"/>
    </row>
    <row r="9" spans="1:13" ht="15.75" customHeight="1">
      <c r="C9" s="514"/>
      <c r="D9" s="515"/>
      <c r="E9" s="601"/>
      <c r="F9" s="516"/>
      <c r="G9" s="515"/>
      <c r="H9" s="554"/>
      <c r="J9" s="569"/>
      <c r="K9" s="569"/>
      <c r="L9" s="569"/>
      <c r="M9" s="569"/>
    </row>
    <row r="10" spans="1:13" ht="15.75" customHeight="1">
      <c r="C10" s="514"/>
      <c r="D10" s="515"/>
      <c r="E10" s="601"/>
      <c r="F10" s="516"/>
      <c r="G10" s="515"/>
      <c r="H10" s="554"/>
      <c r="J10" s="545"/>
      <c r="K10" s="545"/>
      <c r="L10" s="545"/>
      <c r="M10" s="545"/>
    </row>
    <row r="11" spans="1:13" ht="15.75" customHeight="1">
      <c r="C11" s="514"/>
      <c r="D11" s="515"/>
      <c r="E11" s="601"/>
      <c r="F11" s="516"/>
      <c r="G11" s="515"/>
      <c r="H11" s="554"/>
      <c r="J11" s="545"/>
      <c r="K11" s="545"/>
      <c r="L11" s="545"/>
      <c r="M11" s="545"/>
    </row>
    <row r="12" spans="1:13" ht="15.75" customHeight="1">
      <c r="C12" s="523"/>
      <c r="D12" s="524"/>
      <c r="E12" s="518"/>
      <c r="F12" s="526"/>
      <c r="G12" s="524"/>
      <c r="H12" s="595"/>
    </row>
    <row r="13" spans="1:13" ht="15.75" customHeight="1">
      <c r="C13" s="523" t="s">
        <v>2587</v>
      </c>
      <c r="D13" s="524"/>
      <c r="E13" s="518"/>
      <c r="F13" s="526"/>
      <c r="G13" s="524"/>
      <c r="H13" s="595"/>
    </row>
    <row r="14" spans="1:13" ht="15.75" customHeight="1">
      <c r="C14" s="523"/>
      <c r="D14" s="524">
        <f>SUM(D8:D13)</f>
        <v>0</v>
      </c>
      <c r="E14" s="525"/>
      <c r="F14" s="526"/>
      <c r="G14" s="524">
        <f>SUM(G8:G13)</f>
        <v>0</v>
      </c>
      <c r="H14" s="527"/>
    </row>
    <row r="16" spans="1:13" ht="15.75" customHeight="1">
      <c r="A16" s="505" t="s">
        <v>2574</v>
      </c>
      <c r="B16" s="505"/>
    </row>
    <row r="17" spans="1:8" ht="15.75" customHeight="1">
      <c r="A17" s="528"/>
      <c r="B17" s="528"/>
      <c r="C17" s="530"/>
      <c r="D17" s="598"/>
      <c r="E17" s="532"/>
      <c r="F17" s="532"/>
      <c r="G17" s="532"/>
      <c r="H17" s="532"/>
    </row>
    <row r="18" spans="1:8" ht="15.75" customHeight="1">
      <c r="A18" s="528"/>
      <c r="B18" s="528"/>
      <c r="C18" s="530"/>
      <c r="D18" s="598"/>
      <c r="E18" s="532"/>
      <c r="F18" s="532"/>
      <c r="G18" s="532"/>
      <c r="H18" s="532"/>
    </row>
    <row r="19" spans="1:8" ht="15.75" customHeight="1">
      <c r="A19" s="528"/>
      <c r="B19" s="528"/>
      <c r="C19" s="530"/>
      <c r="D19" s="598"/>
      <c r="E19" s="532"/>
      <c r="F19" s="532"/>
      <c r="G19" s="532"/>
      <c r="H19" s="532"/>
    </row>
    <row r="20" spans="1:8" ht="15.75" customHeight="1">
      <c r="A20" s="528"/>
      <c r="B20" s="528"/>
      <c r="C20" s="530"/>
      <c r="D20" s="598"/>
      <c r="E20" s="532"/>
      <c r="F20" s="532"/>
      <c r="G20" s="532"/>
      <c r="H20" s="532"/>
    </row>
    <row r="21" spans="1:8" ht="15.75" customHeight="1">
      <c r="A21" s="528"/>
      <c r="B21" s="528"/>
      <c r="C21" s="530"/>
      <c r="D21" s="598"/>
      <c r="E21" s="532"/>
      <c r="F21" s="532"/>
      <c r="G21" s="532"/>
      <c r="H21" s="532"/>
    </row>
    <row r="22" spans="1:8" ht="15.75" customHeight="1">
      <c r="A22" s="528"/>
      <c r="B22" s="528"/>
      <c r="C22" s="530"/>
      <c r="D22" s="598"/>
      <c r="E22" s="532"/>
      <c r="F22" s="532"/>
      <c r="G22" s="532"/>
      <c r="H22" s="532"/>
    </row>
    <row r="23" spans="1:8" ht="15.75" customHeight="1">
      <c r="A23" s="528"/>
      <c r="B23" s="528"/>
      <c r="C23" s="530"/>
      <c r="D23" s="598"/>
      <c r="E23" s="532"/>
      <c r="F23" s="532"/>
      <c r="G23" s="532"/>
      <c r="H23" s="532"/>
    </row>
    <row r="24" spans="1:8" ht="15.75" customHeight="1">
      <c r="A24" s="528"/>
      <c r="B24" s="528"/>
      <c r="C24" s="530"/>
      <c r="D24" s="598"/>
      <c r="E24" s="532"/>
      <c r="F24" s="532"/>
      <c r="G24" s="532"/>
      <c r="H24" s="532"/>
    </row>
    <row r="25" spans="1:8" ht="15.75" customHeight="1">
      <c r="A25" s="528"/>
      <c r="B25" s="528"/>
      <c r="C25" s="530"/>
      <c r="D25" s="598"/>
      <c r="E25" s="532"/>
      <c r="F25" s="532"/>
      <c r="G25" s="532"/>
      <c r="H25" s="532"/>
    </row>
    <row r="26" spans="1:8" ht="15.75" customHeight="1">
      <c r="A26" s="528"/>
      <c r="B26" s="528"/>
      <c r="C26" s="530"/>
      <c r="D26" s="598"/>
      <c r="E26" s="532"/>
      <c r="F26" s="532"/>
      <c r="G26" s="532"/>
      <c r="H26" s="532"/>
    </row>
    <row r="27" spans="1:8" ht="15.75" customHeight="1">
      <c r="A27" s="528"/>
      <c r="B27" s="528"/>
      <c r="C27" s="530"/>
      <c r="D27" s="598"/>
      <c r="E27" s="532"/>
      <c r="F27" s="532"/>
      <c r="G27" s="532"/>
      <c r="H27" s="532"/>
    </row>
    <row r="28" spans="1:8" ht="15.75" customHeight="1">
      <c r="A28" s="528"/>
      <c r="B28" s="528"/>
      <c r="C28" s="530"/>
      <c r="D28" s="598"/>
      <c r="E28" s="532"/>
      <c r="F28" s="532"/>
      <c r="G28" s="532"/>
      <c r="H28" s="532"/>
    </row>
    <row r="29" spans="1:8" ht="15.75" customHeight="1">
      <c r="A29" s="528"/>
      <c r="B29" s="528"/>
      <c r="C29" s="530"/>
      <c r="D29" s="598"/>
      <c r="E29" s="532"/>
      <c r="F29" s="532"/>
      <c r="G29" s="532"/>
      <c r="H29" s="532"/>
    </row>
    <row r="30" spans="1:8" ht="15.75" customHeight="1">
      <c r="A30" s="528"/>
      <c r="B30" s="528"/>
      <c r="C30" s="530"/>
      <c r="D30" s="598"/>
      <c r="E30" s="532"/>
      <c r="F30" s="532"/>
      <c r="G30" s="532"/>
      <c r="H30" s="532"/>
    </row>
    <row r="31" spans="1:8" ht="15.75" customHeight="1">
      <c r="A31" s="528"/>
      <c r="B31" s="528"/>
      <c r="C31" s="530"/>
      <c r="D31" s="598"/>
      <c r="E31" s="532"/>
      <c r="F31" s="532"/>
      <c r="G31" s="532"/>
      <c r="H31" s="532"/>
    </row>
    <row r="32" spans="1:8" ht="15.75" customHeight="1">
      <c r="A32" s="528"/>
      <c r="B32" s="528"/>
      <c r="C32" s="530"/>
      <c r="D32" s="598"/>
      <c r="E32" s="532"/>
      <c r="F32" s="532"/>
      <c r="G32" s="532"/>
      <c r="H32" s="532"/>
    </row>
    <row r="33" spans="1:9" ht="15.75" customHeight="1">
      <c r="A33" s="528"/>
      <c r="B33" s="528"/>
      <c r="C33" s="530"/>
      <c r="D33" s="598"/>
      <c r="E33" s="532"/>
      <c r="F33" s="532"/>
      <c r="G33" s="532"/>
      <c r="H33" s="532"/>
    </row>
    <row r="34" spans="1:9" ht="15.75" customHeight="1">
      <c r="A34" s="528"/>
      <c r="B34" s="528"/>
      <c r="C34" s="530"/>
      <c r="D34" s="598"/>
      <c r="E34" s="532"/>
      <c r="F34" s="532"/>
      <c r="G34" s="532"/>
      <c r="H34" s="532"/>
    </row>
    <row r="35" spans="1:9" ht="15.75" customHeight="1">
      <c r="A35" s="528"/>
      <c r="B35" s="528"/>
      <c r="C35" s="530"/>
      <c r="D35" s="598"/>
      <c r="E35" s="532"/>
      <c r="F35" s="532"/>
      <c r="G35" s="532"/>
      <c r="H35" s="532"/>
    </row>
    <row r="36" spans="1:9" ht="15.75" customHeight="1">
      <c r="A36" s="528"/>
      <c r="B36" s="528"/>
      <c r="C36" s="530"/>
      <c r="D36" s="598"/>
      <c r="E36" s="532"/>
      <c r="F36" s="532"/>
      <c r="G36" s="532"/>
      <c r="H36" s="532"/>
    </row>
    <row r="37" spans="1:9" ht="15.75" customHeight="1">
      <c r="A37" s="528"/>
      <c r="B37" s="528"/>
      <c r="C37" s="530"/>
      <c r="D37" s="598"/>
      <c r="E37" s="532"/>
      <c r="F37" s="532"/>
      <c r="G37" s="532"/>
      <c r="H37" s="532"/>
    </row>
    <row r="38" spans="1:9" ht="15.75" customHeight="1">
      <c r="A38" s="528"/>
      <c r="B38" s="528"/>
      <c r="C38" s="530"/>
      <c r="D38" s="598"/>
      <c r="E38" s="532"/>
      <c r="F38" s="532"/>
      <c r="G38" s="532"/>
      <c r="H38" s="532"/>
    </row>
    <row r="39" spans="1:9" ht="15.75" customHeight="1">
      <c r="A39" s="528"/>
      <c r="B39" s="528"/>
      <c r="C39" s="530"/>
      <c r="D39" s="598"/>
      <c r="E39" s="532"/>
      <c r="F39" s="532"/>
      <c r="G39" s="532"/>
      <c r="H39" s="532"/>
    </row>
    <row r="40" spans="1:9" ht="15.75" customHeight="1">
      <c r="A40" s="528"/>
      <c r="B40" s="528"/>
      <c r="C40" s="530"/>
      <c r="D40" s="598"/>
      <c r="E40" s="532"/>
      <c r="F40" s="532"/>
      <c r="G40" s="532"/>
      <c r="H40" s="532"/>
    </row>
    <row r="41" spans="1:9" ht="15.75" customHeight="1">
      <c r="A41" s="550"/>
      <c r="B41" s="550"/>
      <c r="C41" s="530"/>
      <c r="D41" s="598"/>
      <c r="E41" s="532"/>
      <c r="F41" s="532"/>
      <c r="G41" s="532"/>
      <c r="H41" s="532"/>
      <c r="I41" s="532"/>
    </row>
    <row r="42" spans="1:9" ht="15.75" customHeight="1">
      <c r="A42" s="550"/>
      <c r="B42" s="550"/>
      <c r="C42" s="530"/>
      <c r="D42" s="598"/>
      <c r="E42" s="532"/>
      <c r="F42" s="532"/>
      <c r="G42" s="532"/>
      <c r="H42" s="532"/>
      <c r="I42" s="532"/>
    </row>
    <row r="43" spans="1:9" ht="15.75" customHeight="1">
      <c r="A43" s="550"/>
      <c r="B43" s="550"/>
      <c r="C43" s="530"/>
      <c r="D43" s="598"/>
      <c r="E43" s="532"/>
      <c r="F43" s="532"/>
      <c r="G43" s="532"/>
      <c r="H43" s="532"/>
      <c r="I43" s="532"/>
    </row>
    <row r="44" spans="1:9" ht="15.75" customHeight="1">
      <c r="A44" s="550"/>
      <c r="B44" s="550"/>
      <c r="C44" s="530"/>
      <c r="D44" s="598"/>
      <c r="E44" s="532"/>
      <c r="F44" s="532"/>
      <c r="G44" s="532"/>
      <c r="H44" s="532"/>
      <c r="I44" s="532"/>
    </row>
    <row r="45" spans="1:9" ht="15.75" customHeight="1">
      <c r="A45" s="550"/>
      <c r="B45" s="550"/>
      <c r="C45" s="530"/>
      <c r="D45" s="598"/>
      <c r="E45" s="532"/>
      <c r="F45" s="532"/>
      <c r="G45" s="532"/>
      <c r="H45" s="532"/>
      <c r="I45" s="532"/>
    </row>
    <row r="46" spans="1:9" ht="15.75" customHeight="1">
      <c r="A46" s="550"/>
      <c r="B46" s="550"/>
      <c r="C46" s="598"/>
      <c r="D46" s="598"/>
      <c r="E46" s="532"/>
      <c r="F46" s="532"/>
      <c r="G46" s="532"/>
      <c r="H46" s="532"/>
      <c r="I46" s="532"/>
    </row>
    <row r="47" spans="1:9" ht="15.75" customHeight="1">
      <c r="A47" s="550"/>
      <c r="B47" s="550"/>
      <c r="C47" s="598"/>
      <c r="D47" s="598"/>
      <c r="E47" s="532"/>
      <c r="F47" s="532"/>
      <c r="G47" s="532"/>
      <c r="H47" s="532"/>
      <c r="I47" s="532"/>
    </row>
    <row r="48" spans="1:9" ht="15.75" customHeight="1">
      <c r="A48" s="550"/>
      <c r="B48" s="550"/>
      <c r="C48" s="598"/>
      <c r="D48" s="598"/>
      <c r="E48" s="532"/>
      <c r="F48" s="532"/>
      <c r="G48" s="532"/>
      <c r="H48" s="532"/>
      <c r="I48" s="532"/>
    </row>
    <row r="49" spans="1:9" ht="15.75" customHeight="1">
      <c r="A49" s="550"/>
      <c r="B49" s="550"/>
      <c r="C49" s="598"/>
      <c r="D49" s="598"/>
      <c r="E49" s="532"/>
      <c r="F49" s="532"/>
      <c r="G49" s="532"/>
      <c r="H49" s="532"/>
      <c r="I49" s="532"/>
    </row>
    <row r="50" spans="1:9" ht="15.75" customHeight="1">
      <c r="A50" s="550"/>
      <c r="B50" s="550"/>
      <c r="C50" s="598"/>
      <c r="D50" s="598"/>
      <c r="E50" s="532"/>
      <c r="F50" s="532"/>
      <c r="G50" s="532"/>
      <c r="H50" s="532"/>
      <c r="I50" s="532"/>
    </row>
    <row r="51" spans="1:9" ht="15.75" customHeight="1">
      <c r="A51" s="550"/>
      <c r="B51" s="550"/>
      <c r="C51" s="598"/>
      <c r="D51" s="598"/>
      <c r="E51" s="532"/>
      <c r="F51" s="532"/>
      <c r="G51" s="532"/>
      <c r="H51" s="532"/>
      <c r="I51" s="532"/>
    </row>
    <row r="52" spans="1:9" ht="15.75" customHeight="1">
      <c r="A52" s="550"/>
      <c r="B52" s="550"/>
      <c r="C52" s="530"/>
      <c r="D52" s="598"/>
      <c r="E52" s="532"/>
      <c r="F52" s="532"/>
      <c r="G52" s="532"/>
      <c r="H52" s="532"/>
      <c r="I52" s="532"/>
    </row>
    <row r="53" spans="1:9" ht="15.75" customHeight="1">
      <c r="A53" s="550"/>
      <c r="B53" s="550"/>
      <c r="C53" s="530"/>
      <c r="D53" s="598"/>
      <c r="E53" s="532"/>
      <c r="F53" s="532"/>
      <c r="G53" s="532"/>
      <c r="H53" s="532"/>
      <c r="I53" s="532"/>
    </row>
    <row r="54" spans="1:9" ht="15.75" customHeight="1">
      <c r="A54" s="550"/>
      <c r="B54" s="550"/>
      <c r="C54" s="598"/>
      <c r="D54" s="598"/>
      <c r="E54" s="532"/>
      <c r="F54" s="532"/>
      <c r="G54" s="532"/>
      <c r="H54" s="532"/>
      <c r="I54" s="532"/>
    </row>
    <row r="55" spans="1:9" ht="15.75" customHeight="1">
      <c r="A55" s="550"/>
      <c r="B55" s="550"/>
      <c r="C55" s="598"/>
      <c r="D55" s="598"/>
      <c r="E55" s="532"/>
      <c r="F55" s="532"/>
      <c r="G55" s="532"/>
      <c r="H55" s="532"/>
      <c r="I55" s="532"/>
    </row>
    <row r="56" spans="1:9" ht="15.75" customHeight="1">
      <c r="A56" s="550"/>
      <c r="B56" s="550"/>
      <c r="C56" s="598"/>
      <c r="D56" s="598"/>
      <c r="E56" s="532"/>
      <c r="F56" s="532"/>
      <c r="G56" s="532"/>
      <c r="H56" s="532"/>
      <c r="I56" s="532"/>
    </row>
    <row r="57" spans="1:9" ht="15.75" customHeight="1">
      <c r="A57" s="550"/>
      <c r="B57" s="550"/>
      <c r="C57" s="598"/>
      <c r="D57" s="598"/>
      <c r="E57" s="532"/>
      <c r="F57" s="532"/>
      <c r="G57" s="532"/>
      <c r="H57" s="532"/>
      <c r="I57" s="532"/>
    </row>
    <row r="58" spans="1:9" ht="15.75" customHeight="1">
      <c r="A58" s="550"/>
      <c r="B58" s="550"/>
      <c r="C58" s="598"/>
      <c r="D58" s="598"/>
      <c r="E58" s="532"/>
      <c r="F58" s="532"/>
      <c r="G58" s="532"/>
      <c r="H58" s="532"/>
      <c r="I58" s="532"/>
    </row>
    <row r="59" spans="1:9" ht="15.75" customHeight="1">
      <c r="A59" s="550"/>
      <c r="B59" s="550"/>
      <c r="C59" s="598"/>
      <c r="D59" s="598"/>
      <c r="E59" s="532"/>
      <c r="F59" s="532"/>
      <c r="G59" s="532"/>
      <c r="H59" s="532"/>
      <c r="I59" s="532"/>
    </row>
    <row r="60" spans="1:9" ht="15.75" customHeight="1">
      <c r="A60" s="550"/>
      <c r="B60" s="550"/>
      <c r="C60" s="598"/>
      <c r="D60" s="598"/>
      <c r="E60" s="532"/>
      <c r="F60" s="532"/>
      <c r="G60" s="532"/>
      <c r="H60" s="532"/>
      <c r="I60" s="532"/>
    </row>
    <row r="61" spans="1:9" ht="15.75" customHeight="1">
      <c r="A61" s="550"/>
      <c r="B61" s="550"/>
      <c r="C61" s="598"/>
      <c r="D61" s="598"/>
      <c r="E61" s="532"/>
      <c r="F61" s="532"/>
      <c r="G61" s="532"/>
      <c r="H61" s="532"/>
      <c r="I61" s="532"/>
    </row>
    <row r="62" spans="1:9" ht="15.75" customHeight="1">
      <c r="A62" s="550"/>
      <c r="B62" s="550"/>
      <c r="C62" s="598"/>
      <c r="D62" s="598"/>
      <c r="E62" s="532"/>
      <c r="F62" s="532"/>
      <c r="G62" s="532"/>
      <c r="H62" s="532"/>
      <c r="I62" s="532"/>
    </row>
    <row r="63" spans="1:9" ht="15.75" customHeight="1">
      <c r="A63" s="550"/>
      <c r="B63" s="550"/>
      <c r="C63" s="598"/>
      <c r="D63" s="598"/>
      <c r="E63" s="532"/>
      <c r="F63" s="532"/>
      <c r="G63" s="532"/>
      <c r="H63" s="532"/>
      <c r="I63" s="532"/>
    </row>
    <row r="64" spans="1:9" ht="15.75" customHeight="1">
      <c r="A64" s="550"/>
      <c r="B64" s="550"/>
      <c r="C64" s="598"/>
      <c r="D64" s="598"/>
      <c r="E64" s="532"/>
      <c r="F64" s="532"/>
      <c r="G64" s="532"/>
      <c r="H64" s="532"/>
      <c r="I64" s="532"/>
    </row>
    <row r="65" spans="1:9" ht="15.75" customHeight="1">
      <c r="A65" s="550"/>
      <c r="B65" s="550"/>
      <c r="C65" s="598"/>
      <c r="D65" s="598"/>
      <c r="E65" s="532"/>
      <c r="F65" s="532"/>
      <c r="G65" s="532"/>
      <c r="H65" s="532"/>
      <c r="I65" s="532"/>
    </row>
    <row r="66" spans="1:9" ht="15.75" customHeight="1">
      <c r="A66" s="550"/>
      <c r="B66" s="550"/>
      <c r="C66" s="536"/>
      <c r="D66" s="532"/>
      <c r="E66" s="532"/>
      <c r="F66" s="532"/>
      <c r="G66" s="532"/>
      <c r="H66" s="532"/>
      <c r="I66" s="532"/>
    </row>
    <row r="67" spans="1:9" ht="15.75" customHeight="1">
      <c r="A67" s="550"/>
      <c r="B67" s="550"/>
      <c r="C67" s="598"/>
      <c r="D67" s="598"/>
      <c r="E67" s="598"/>
      <c r="F67" s="598"/>
      <c r="G67" s="598"/>
      <c r="H67" s="532"/>
      <c r="I67" s="532"/>
    </row>
    <row r="68" spans="1:9" ht="15.75" customHeight="1">
      <c r="A68" s="530"/>
      <c r="B68" s="530"/>
      <c r="C68" s="1362"/>
      <c r="D68" s="598"/>
      <c r="E68" s="598"/>
      <c r="F68" s="598"/>
      <c r="G68" s="1362"/>
      <c r="H68" s="532"/>
      <c r="I68" s="532"/>
    </row>
    <row r="69" spans="1:9" ht="15.75" customHeight="1">
      <c r="A69" s="530"/>
      <c r="B69" s="530"/>
      <c r="C69" s="1362"/>
      <c r="D69" s="598"/>
      <c r="E69" s="598"/>
      <c r="F69" s="598"/>
      <c r="G69" s="1362"/>
      <c r="H69" s="532"/>
      <c r="I69" s="532"/>
    </row>
    <row r="70" spans="1:9" ht="15.75" customHeight="1">
      <c r="A70" s="530"/>
      <c r="B70" s="530"/>
      <c r="C70" s="530"/>
      <c r="D70" s="598"/>
      <c r="E70" s="598"/>
      <c r="F70" s="598"/>
      <c r="G70" s="598"/>
      <c r="H70" s="532"/>
      <c r="I70" s="532"/>
    </row>
    <row r="71" spans="1:9" ht="15.75" customHeight="1">
      <c r="A71" s="530"/>
      <c r="B71" s="530"/>
      <c r="C71" s="598"/>
      <c r="D71" s="598"/>
      <c r="E71" s="598"/>
      <c r="F71" s="598"/>
      <c r="G71" s="598"/>
      <c r="H71" s="532"/>
      <c r="I71" s="532"/>
    </row>
    <row r="72" spans="1:9" ht="15.75" customHeight="1">
      <c r="A72" s="530"/>
      <c r="B72" s="530"/>
      <c r="C72" s="598"/>
      <c r="D72" s="598"/>
      <c r="E72" s="598"/>
      <c r="F72" s="598"/>
      <c r="G72" s="598"/>
      <c r="H72" s="532"/>
      <c r="I72" s="532"/>
    </row>
    <row r="73" spans="1:9" ht="15.75" customHeight="1">
      <c r="A73" s="530"/>
      <c r="B73" s="530"/>
      <c r="C73" s="530"/>
      <c r="D73" s="598"/>
      <c r="E73" s="598"/>
      <c r="F73" s="598"/>
      <c r="G73" s="532"/>
      <c r="H73" s="532"/>
      <c r="I73" s="532"/>
    </row>
    <row r="74" spans="1:9" ht="15.75" customHeight="1">
      <c r="A74" s="530"/>
      <c r="B74" s="530"/>
      <c r="C74" s="530"/>
      <c r="D74" s="598"/>
      <c r="E74" s="598"/>
      <c r="F74" s="598"/>
      <c r="G74" s="598"/>
      <c r="H74" s="532"/>
      <c r="I74" s="532"/>
    </row>
    <row r="75" spans="1:9" ht="15.75" customHeight="1">
      <c r="A75" s="530"/>
      <c r="B75" s="530"/>
      <c r="C75" s="598"/>
      <c r="D75" s="598"/>
      <c r="E75" s="598"/>
      <c r="F75" s="598"/>
      <c r="G75" s="598"/>
      <c r="H75" s="532"/>
      <c r="I75" s="532"/>
    </row>
    <row r="76" spans="1:9" ht="15.75" customHeight="1">
      <c r="A76" s="530"/>
      <c r="B76" s="530"/>
      <c r="C76" s="598"/>
      <c r="D76" s="598"/>
      <c r="E76" s="598"/>
      <c r="F76" s="598"/>
      <c r="G76" s="598"/>
      <c r="H76" s="532"/>
      <c r="I76" s="532"/>
    </row>
    <row r="77" spans="1:9" ht="15.75" customHeight="1">
      <c r="A77" s="530"/>
      <c r="B77" s="530"/>
      <c r="C77" s="598"/>
      <c r="D77" s="598"/>
      <c r="E77" s="598"/>
      <c r="F77" s="598"/>
      <c r="G77" s="598"/>
      <c r="H77" s="532"/>
      <c r="I77" s="532"/>
    </row>
    <row r="78" spans="1:9" ht="15.75" customHeight="1">
      <c r="A78" s="530"/>
      <c r="B78" s="530"/>
      <c r="C78" s="598"/>
      <c r="D78" s="598"/>
      <c r="E78" s="598"/>
      <c r="F78" s="598"/>
      <c r="G78" s="598"/>
      <c r="H78" s="532"/>
      <c r="I78" s="532"/>
    </row>
    <row r="79" spans="1:9" ht="15.75" customHeight="1">
      <c r="A79" s="530"/>
      <c r="B79" s="530"/>
      <c r="C79" s="598"/>
      <c r="D79" s="598"/>
      <c r="E79" s="598"/>
      <c r="F79" s="598"/>
      <c r="G79" s="598"/>
      <c r="H79" s="532"/>
      <c r="I79" s="532"/>
    </row>
    <row r="80" spans="1:9" ht="15.75" customHeight="1">
      <c r="A80" s="530"/>
      <c r="B80" s="530"/>
      <c r="C80" s="598"/>
      <c r="D80" s="598"/>
      <c r="E80" s="598"/>
      <c r="F80" s="598"/>
      <c r="G80" s="598"/>
      <c r="H80" s="532"/>
      <c r="I80" s="532"/>
    </row>
    <row r="81" spans="1:9" ht="15.75" customHeight="1">
      <c r="A81" s="530"/>
      <c r="B81" s="530"/>
      <c r="C81" s="598"/>
      <c r="D81" s="598"/>
      <c r="E81" s="598"/>
      <c r="F81" s="598"/>
      <c r="G81" s="598"/>
      <c r="H81" s="532"/>
      <c r="I81" s="532"/>
    </row>
    <row r="82" spans="1:9" ht="15.75" customHeight="1">
      <c r="A82" s="537"/>
      <c r="B82" s="537"/>
      <c r="C82" s="530"/>
      <c r="D82" s="598"/>
      <c r="E82" s="598"/>
      <c r="F82" s="598"/>
      <c r="G82" s="598"/>
      <c r="H82" s="532"/>
    </row>
    <row r="83" spans="1:9" ht="15.75" customHeight="1">
      <c r="A83" s="537"/>
      <c r="B83" s="537"/>
      <c r="C83" s="530"/>
      <c r="D83" s="598"/>
      <c r="E83" s="598"/>
      <c r="F83" s="598"/>
      <c r="G83" s="598"/>
      <c r="H83" s="532"/>
    </row>
    <row r="84" spans="1:9" ht="15.75" customHeight="1">
      <c r="A84" s="537"/>
      <c r="B84" s="537"/>
      <c r="C84" s="530"/>
      <c r="D84" s="598"/>
      <c r="E84" s="598"/>
      <c r="F84" s="598"/>
      <c r="G84" s="598"/>
      <c r="H84" s="532"/>
    </row>
    <row r="85" spans="1:9" ht="15.75" customHeight="1">
      <c r="A85" s="537"/>
      <c r="B85" s="537"/>
      <c r="C85" s="530"/>
      <c r="D85" s="598"/>
      <c r="E85" s="598"/>
      <c r="F85" s="598"/>
      <c r="G85" s="598"/>
      <c r="H85" s="532"/>
    </row>
    <row r="86" spans="1:9" ht="15.75" customHeight="1">
      <c r="A86" s="537"/>
      <c r="B86" s="537"/>
      <c r="C86" s="598"/>
      <c r="D86" s="598"/>
      <c r="E86" s="598"/>
      <c r="F86" s="598"/>
      <c r="G86" s="598"/>
      <c r="H86" s="532"/>
    </row>
    <row r="87" spans="1:9" ht="15.75" customHeight="1">
      <c r="A87" s="537"/>
      <c r="B87" s="537"/>
      <c r="C87" s="530"/>
      <c r="D87" s="598"/>
      <c r="E87" s="598"/>
      <c r="F87" s="598"/>
      <c r="G87" s="598"/>
      <c r="H87" s="532"/>
    </row>
    <row r="88" spans="1:9" ht="15.75" customHeight="1">
      <c r="A88" s="537"/>
      <c r="B88" s="537"/>
      <c r="C88" s="530"/>
      <c r="D88" s="598"/>
      <c r="E88" s="598"/>
      <c r="F88" s="598"/>
      <c r="G88" s="598"/>
      <c r="H88" s="532"/>
    </row>
    <row r="89" spans="1:9" ht="15.75" customHeight="1">
      <c r="A89" s="537"/>
      <c r="B89" s="537"/>
      <c r="C89" s="530"/>
      <c r="D89" s="598"/>
      <c r="E89" s="598"/>
      <c r="F89" s="598"/>
      <c r="G89" s="598"/>
      <c r="H89" s="532"/>
    </row>
    <row r="90" spans="1:9" ht="15.75" customHeight="1">
      <c r="A90" s="537"/>
      <c r="B90" s="537"/>
      <c r="C90" s="530"/>
      <c r="D90" s="598"/>
      <c r="E90" s="598"/>
      <c r="F90" s="598"/>
      <c r="G90" s="598"/>
      <c r="H90" s="532"/>
    </row>
    <row r="91" spans="1:9" ht="15.75" customHeight="1">
      <c r="A91" s="537"/>
      <c r="B91" s="537"/>
      <c r="C91" s="530"/>
      <c r="D91" s="598"/>
      <c r="E91" s="598"/>
      <c r="F91" s="598"/>
      <c r="G91" s="598"/>
      <c r="H91" s="532"/>
    </row>
    <row r="92" spans="1:9" ht="15.75" customHeight="1">
      <c r="A92" s="537"/>
      <c r="B92" s="537"/>
      <c r="C92" s="598"/>
      <c r="D92" s="598"/>
      <c r="E92" s="598"/>
      <c r="F92" s="598"/>
      <c r="G92" s="598"/>
      <c r="H92" s="532"/>
    </row>
    <row r="93" spans="1:9" ht="15.75" customHeight="1">
      <c r="A93" s="537"/>
      <c r="B93" s="537"/>
      <c r="C93" s="598"/>
      <c r="D93" s="598"/>
      <c r="E93" s="598"/>
      <c r="F93" s="598"/>
      <c r="G93" s="598"/>
      <c r="H93" s="532"/>
    </row>
    <row r="94" spans="1:9" ht="15.75" customHeight="1">
      <c r="A94" s="537"/>
      <c r="B94" s="537"/>
      <c r="C94" s="598"/>
      <c r="D94" s="598"/>
      <c r="E94" s="598"/>
      <c r="F94" s="598"/>
      <c r="G94" s="598"/>
      <c r="H94" s="532"/>
    </row>
    <row r="95" spans="1:9" ht="15.75" customHeight="1">
      <c r="A95" s="537"/>
      <c r="B95" s="537"/>
      <c r="C95" s="598"/>
      <c r="D95" s="598"/>
      <c r="E95" s="598"/>
      <c r="F95" s="598"/>
      <c r="G95" s="598"/>
      <c r="H95" s="532"/>
    </row>
    <row r="96" spans="1:9" ht="15.75" customHeight="1">
      <c r="A96" s="537"/>
      <c r="B96" s="537"/>
      <c r="C96" s="530"/>
      <c r="D96" s="598"/>
      <c r="E96" s="598"/>
      <c r="F96" s="598"/>
      <c r="G96" s="598"/>
      <c r="H96" s="532"/>
    </row>
    <row r="97" spans="1:8" ht="15.75" customHeight="1">
      <c r="A97" s="537"/>
      <c r="B97" s="537"/>
      <c r="C97" s="530"/>
      <c r="D97" s="598"/>
      <c r="E97" s="598"/>
      <c r="F97" s="598"/>
      <c r="G97" s="598"/>
      <c r="H97" s="532"/>
    </row>
    <row r="98" spans="1:8" ht="15.75" customHeight="1">
      <c r="A98" s="537"/>
      <c r="B98" s="537"/>
      <c r="C98" s="598"/>
      <c r="D98" s="598"/>
      <c r="E98" s="598"/>
      <c r="F98" s="598"/>
      <c r="G98" s="598"/>
      <c r="H98" s="532"/>
    </row>
    <row r="99" spans="1:8" ht="15.75" customHeight="1">
      <c r="A99" s="538"/>
      <c r="B99" s="538"/>
      <c r="C99" s="598"/>
      <c r="D99" s="598"/>
      <c r="E99" s="598"/>
      <c r="F99" s="598"/>
      <c r="G99" s="598"/>
      <c r="H99" s="532"/>
    </row>
    <row r="100" spans="1:8" ht="15.75" customHeight="1">
      <c r="A100" s="538"/>
      <c r="B100" s="538"/>
      <c r="C100" s="598"/>
      <c r="D100" s="598"/>
      <c r="E100" s="598"/>
      <c r="F100" s="598"/>
      <c r="G100" s="598"/>
      <c r="H100" s="532"/>
    </row>
    <row r="101" spans="1:8" ht="15.75" customHeight="1">
      <c r="A101" s="538"/>
      <c r="B101" s="538"/>
      <c r="C101" s="598"/>
      <c r="D101" s="598"/>
      <c r="E101" s="598"/>
      <c r="F101" s="598"/>
      <c r="G101" s="598"/>
      <c r="H101" s="532"/>
    </row>
    <row r="102" spans="1:8" ht="15.75" customHeight="1">
      <c r="A102" s="538"/>
      <c r="B102" s="538"/>
      <c r="C102" s="598"/>
      <c r="D102" s="598"/>
      <c r="E102" s="598"/>
      <c r="F102" s="598"/>
      <c r="G102" s="598"/>
      <c r="H102" s="532"/>
    </row>
    <row r="103" spans="1:8" ht="15.75" customHeight="1">
      <c r="A103" s="538"/>
      <c r="B103" s="538"/>
      <c r="C103" s="598"/>
      <c r="D103" s="598"/>
      <c r="E103" s="598"/>
      <c r="F103" s="598"/>
      <c r="G103" s="598"/>
      <c r="H103" s="532"/>
    </row>
    <row r="104" spans="1:8" ht="15.75" customHeight="1">
      <c r="A104" s="538"/>
      <c r="B104" s="538"/>
      <c r="C104" s="530"/>
      <c r="D104" s="598"/>
      <c r="E104" s="598"/>
      <c r="F104" s="598"/>
      <c r="G104" s="598"/>
      <c r="H104" s="532"/>
    </row>
    <row r="105" spans="1:8" ht="15.75" customHeight="1">
      <c r="A105" s="538"/>
      <c r="B105" s="538"/>
      <c r="C105" s="530"/>
      <c r="D105" s="598"/>
      <c r="E105" s="598"/>
      <c r="F105" s="598"/>
      <c r="G105" s="598"/>
      <c r="H105" s="532"/>
    </row>
    <row r="106" spans="1:8" ht="15.75" customHeight="1">
      <c r="A106" s="538"/>
      <c r="B106" s="538"/>
      <c r="C106" s="598"/>
      <c r="D106" s="598"/>
      <c r="E106" s="598"/>
      <c r="F106" s="598"/>
      <c r="G106" s="598"/>
      <c r="H106" s="532"/>
    </row>
    <row r="107" spans="1:8" ht="15.75" customHeight="1">
      <c r="A107" s="539"/>
      <c r="B107" s="539"/>
      <c r="C107" s="532"/>
      <c r="D107" s="532"/>
      <c r="E107" s="532"/>
      <c r="F107" s="532"/>
      <c r="G107" s="532"/>
      <c r="H107" s="532"/>
    </row>
    <row r="108" spans="1:8" ht="15.75" customHeight="1">
      <c r="A108" s="539"/>
      <c r="B108" s="539"/>
      <c r="C108" s="532"/>
      <c r="D108" s="532"/>
      <c r="E108" s="532"/>
      <c r="F108" s="532"/>
      <c r="G108" s="532"/>
      <c r="H108" s="532"/>
    </row>
    <row r="109" spans="1:8" ht="15.75" customHeight="1">
      <c r="A109" s="539"/>
      <c r="B109" s="539"/>
      <c r="C109" s="598"/>
      <c r="D109" s="598"/>
      <c r="E109" s="532"/>
      <c r="F109" s="532"/>
      <c r="G109" s="532"/>
      <c r="H109" s="532"/>
    </row>
    <row r="110" spans="1:8" ht="15.75" customHeight="1">
      <c r="A110" s="539"/>
      <c r="B110" s="539"/>
      <c r="C110" s="532"/>
      <c r="D110" s="532"/>
      <c r="E110" s="532"/>
      <c r="F110" s="532"/>
      <c r="G110" s="532"/>
      <c r="H110" s="532"/>
    </row>
    <row r="111" spans="1:8" ht="15.75" customHeight="1">
      <c r="A111" s="540"/>
      <c r="B111" s="540"/>
      <c r="C111" s="541"/>
      <c r="D111" s="536"/>
      <c r="E111" s="536"/>
      <c r="F111" s="532"/>
      <c r="G111" s="532"/>
      <c r="H111" s="532"/>
    </row>
    <row r="112" spans="1:8" ht="15.75" customHeight="1">
      <c r="A112" s="529"/>
      <c r="B112" s="529"/>
      <c r="C112" s="536"/>
      <c r="D112" s="536"/>
      <c r="E112" s="536"/>
      <c r="F112" s="532"/>
      <c r="G112" s="532"/>
      <c r="H112" s="532"/>
    </row>
    <row r="113" spans="1:8" ht="15.75" customHeight="1">
      <c r="A113" s="539"/>
      <c r="B113" s="539"/>
      <c r="C113" s="532"/>
      <c r="D113" s="532"/>
      <c r="E113" s="532"/>
      <c r="F113" s="532"/>
      <c r="G113" s="532"/>
      <c r="H113" s="532"/>
    </row>
    <row r="114" spans="1:8" ht="15.75" customHeight="1">
      <c r="A114" s="539"/>
      <c r="B114" s="539"/>
      <c r="C114" s="532"/>
      <c r="D114" s="532"/>
      <c r="E114" s="532"/>
      <c r="F114" s="532"/>
      <c r="G114" s="532"/>
      <c r="H114" s="532"/>
    </row>
    <row r="115" spans="1:8" s="544" customFormat="1" ht="15.75" customHeight="1">
      <c r="A115" s="542"/>
      <c r="B115" s="542"/>
      <c r="C115" s="543"/>
      <c r="D115" s="543"/>
      <c r="E115" s="543"/>
      <c r="F115" s="536"/>
      <c r="G115" s="536"/>
      <c r="H115" s="536"/>
    </row>
    <row r="116" spans="1:8" s="544" customFormat="1" ht="15.75" customHeight="1">
      <c r="A116" s="529"/>
      <c r="B116" s="529"/>
      <c r="C116" s="536"/>
      <c r="D116" s="536"/>
      <c r="E116" s="536"/>
      <c r="F116" s="536"/>
      <c r="G116" s="536"/>
      <c r="H116" s="536"/>
    </row>
    <row r="117" spans="1:8" s="544" customFormat="1" ht="15.75" customHeight="1">
      <c r="A117" s="542"/>
      <c r="B117" s="542"/>
      <c r="C117" s="536"/>
      <c r="D117" s="536"/>
      <c r="E117" s="536"/>
      <c r="F117" s="536"/>
      <c r="G117" s="536"/>
      <c r="H117" s="536"/>
    </row>
    <row r="118" spans="1:8" s="544" customFormat="1" ht="15.75" customHeight="1">
      <c r="A118" s="540"/>
      <c r="B118" s="540"/>
      <c r="C118" s="536"/>
      <c r="D118" s="536"/>
      <c r="E118" s="536"/>
      <c r="F118" s="536"/>
      <c r="G118" s="536"/>
      <c r="H118" s="536"/>
    </row>
    <row r="119" spans="1:8" s="544" customFormat="1" ht="15.75" customHeight="1">
      <c r="A119" s="529"/>
      <c r="B119" s="529"/>
      <c r="C119" s="536"/>
      <c r="D119" s="536"/>
      <c r="E119" s="536"/>
      <c r="F119" s="536"/>
      <c r="G119" s="536"/>
      <c r="H119" s="536"/>
    </row>
    <row r="120" spans="1:8" s="544" customFormat="1" ht="15.75" customHeight="1">
      <c r="A120" s="529"/>
      <c r="B120" s="529"/>
      <c r="C120" s="536"/>
      <c r="D120" s="536"/>
      <c r="E120" s="536"/>
      <c r="F120" s="536"/>
      <c r="G120" s="536"/>
      <c r="H120" s="536"/>
    </row>
    <row r="121" spans="1:8" s="544" customFormat="1" ht="15.75" customHeight="1">
      <c r="A121" s="529"/>
      <c r="B121" s="529"/>
      <c r="C121" s="536"/>
      <c r="D121" s="536"/>
      <c r="E121" s="536"/>
      <c r="F121" s="536"/>
      <c r="G121" s="536"/>
      <c r="H121" s="536"/>
    </row>
    <row r="122" spans="1:8" ht="15.75" customHeight="1">
      <c r="A122" s="545"/>
      <c r="B122" s="545"/>
      <c r="C122" s="536"/>
      <c r="D122" s="532"/>
      <c r="E122" s="532"/>
      <c r="F122" s="532"/>
      <c r="G122" s="532"/>
      <c r="H122" s="532"/>
    </row>
    <row r="123" spans="1:8" ht="15.75" customHeight="1">
      <c r="A123" s="545"/>
      <c r="B123" s="545"/>
      <c r="C123" s="532"/>
      <c r="D123" s="532"/>
      <c r="E123" s="532"/>
      <c r="F123" s="532"/>
      <c r="G123" s="532"/>
      <c r="H123" s="532"/>
    </row>
    <row r="124" spans="1:8" ht="15.75" customHeight="1">
      <c r="A124" s="545"/>
      <c r="B124" s="545"/>
      <c r="C124" s="532"/>
      <c r="D124" s="532"/>
      <c r="E124" s="532"/>
      <c r="F124" s="532"/>
      <c r="G124" s="532"/>
      <c r="H124" s="532"/>
    </row>
    <row r="125" spans="1:8" ht="15.75" customHeight="1">
      <c r="A125" s="545"/>
      <c r="B125" s="545"/>
      <c r="C125" s="532"/>
      <c r="D125" s="532"/>
      <c r="E125" s="532"/>
      <c r="F125" s="532"/>
      <c r="G125" s="532"/>
      <c r="H125" s="532"/>
    </row>
    <row r="126" spans="1:8" ht="15.75" customHeight="1">
      <c r="A126" s="545"/>
      <c r="B126" s="545"/>
      <c r="C126" s="532"/>
      <c r="D126" s="532"/>
      <c r="E126" s="532"/>
      <c r="F126" s="532"/>
      <c r="G126" s="532"/>
      <c r="H126" s="532"/>
    </row>
    <row r="127" spans="1:8" ht="15.75" customHeight="1">
      <c r="A127" s="545"/>
      <c r="B127" s="545"/>
      <c r="C127" s="532"/>
      <c r="D127" s="532"/>
      <c r="E127" s="532"/>
      <c r="F127" s="532"/>
      <c r="G127" s="532"/>
      <c r="H127" s="532"/>
    </row>
    <row r="128" spans="1:8" ht="15.75" customHeight="1">
      <c r="A128" s="545"/>
      <c r="B128" s="545"/>
      <c r="C128" s="532"/>
      <c r="D128" s="532"/>
      <c r="E128" s="532"/>
      <c r="F128" s="532"/>
      <c r="G128" s="532"/>
      <c r="H128" s="532"/>
    </row>
    <row r="129" spans="1:8" ht="15.75" customHeight="1">
      <c r="A129" s="545"/>
      <c r="B129" s="545"/>
      <c r="C129" s="532"/>
      <c r="D129" s="532"/>
      <c r="E129" s="532"/>
      <c r="F129" s="532"/>
      <c r="G129" s="532"/>
      <c r="H129" s="532"/>
    </row>
    <row r="130" spans="1:8" ht="15.75" customHeight="1">
      <c r="C130" s="532"/>
      <c r="D130" s="532"/>
      <c r="E130" s="532"/>
      <c r="F130" s="532"/>
      <c r="G130" s="532"/>
      <c r="H130" s="532"/>
    </row>
    <row r="131" spans="1:8" ht="15.75" customHeight="1">
      <c r="C131" s="532"/>
      <c r="D131" s="532"/>
      <c r="E131" s="532"/>
      <c r="F131" s="532"/>
      <c r="G131" s="532"/>
      <c r="H131" s="532"/>
    </row>
    <row r="132" spans="1:8" ht="15.75" customHeight="1">
      <c r="C132" s="532"/>
      <c r="D132" s="532"/>
      <c r="E132" s="532"/>
      <c r="F132" s="532"/>
      <c r="G132" s="532"/>
      <c r="H132" s="532"/>
    </row>
    <row r="133" spans="1:8" ht="15.75" customHeight="1">
      <c r="C133" s="532"/>
      <c r="D133" s="532"/>
      <c r="E133" s="532"/>
      <c r="F133" s="532"/>
      <c r="G133" s="532"/>
      <c r="H133" s="532"/>
    </row>
    <row r="134" spans="1:8" ht="15.75" customHeight="1">
      <c r="C134" s="532"/>
      <c r="D134" s="532"/>
      <c r="E134" s="532"/>
      <c r="F134" s="532"/>
      <c r="G134" s="532"/>
      <c r="H134" s="532"/>
    </row>
    <row r="135" spans="1:8" ht="15.75" customHeight="1">
      <c r="C135" s="532"/>
      <c r="D135" s="532"/>
      <c r="E135" s="532"/>
      <c r="F135" s="532"/>
      <c r="G135" s="532"/>
      <c r="H135" s="532"/>
    </row>
    <row r="136" spans="1:8" ht="15.75" customHeight="1">
      <c r="C136" s="532"/>
      <c r="D136" s="532"/>
      <c r="E136" s="532"/>
      <c r="F136" s="532"/>
      <c r="G136" s="532"/>
      <c r="H136" s="532"/>
    </row>
    <row r="137" spans="1:8" ht="15.75" customHeight="1">
      <c r="C137" s="532"/>
      <c r="D137" s="532"/>
      <c r="E137" s="532"/>
      <c r="F137" s="532"/>
      <c r="G137" s="532"/>
      <c r="H137" s="532"/>
    </row>
    <row r="138" spans="1:8" ht="15.75" customHeight="1">
      <c r="C138" s="532"/>
      <c r="D138" s="532"/>
      <c r="E138" s="532"/>
      <c r="F138" s="532"/>
      <c r="G138" s="532"/>
      <c r="H138" s="532"/>
    </row>
    <row r="139" spans="1:8" ht="15.75" customHeight="1">
      <c r="C139" s="532"/>
      <c r="D139" s="532"/>
      <c r="E139" s="532"/>
      <c r="F139" s="532"/>
      <c r="G139" s="532"/>
      <c r="H139" s="532"/>
    </row>
    <row r="140" spans="1:8" ht="15.75" customHeight="1">
      <c r="C140" s="532"/>
      <c r="D140" s="532"/>
      <c r="E140" s="532"/>
      <c r="F140" s="532"/>
      <c r="G140" s="532"/>
      <c r="H140" s="532"/>
    </row>
    <row r="141" spans="1:8" ht="15.75" customHeight="1">
      <c r="C141" s="532"/>
      <c r="D141" s="532"/>
      <c r="E141" s="532"/>
      <c r="F141" s="532"/>
      <c r="G141" s="532"/>
      <c r="H141" s="532"/>
    </row>
    <row r="142" spans="1:8" ht="15.75" customHeight="1">
      <c r="C142" s="532"/>
      <c r="D142" s="532"/>
      <c r="E142" s="532"/>
      <c r="F142" s="532"/>
      <c r="G142" s="532"/>
      <c r="H142" s="532"/>
    </row>
    <row r="143" spans="1:8" ht="15.75" customHeight="1">
      <c r="C143" s="532"/>
      <c r="D143" s="532"/>
      <c r="E143" s="532"/>
      <c r="F143" s="532"/>
      <c r="G143" s="532"/>
      <c r="H143" s="532"/>
    </row>
    <row r="144" spans="1:8" ht="15.75" customHeight="1">
      <c r="C144" s="532"/>
      <c r="D144" s="532"/>
      <c r="E144" s="532"/>
      <c r="F144" s="532"/>
      <c r="G144" s="532"/>
      <c r="H144" s="532"/>
    </row>
    <row r="145" spans="3:8" ht="15.75" customHeight="1">
      <c r="C145" s="532"/>
      <c r="D145" s="532"/>
      <c r="E145" s="532"/>
      <c r="F145" s="532"/>
      <c r="G145" s="532"/>
      <c r="H145" s="532"/>
    </row>
    <row r="146" spans="3:8" ht="15.75" customHeight="1">
      <c r="C146" s="532"/>
      <c r="D146" s="532"/>
      <c r="E146" s="532"/>
      <c r="F146" s="532"/>
      <c r="G146" s="532"/>
      <c r="H146" s="532"/>
    </row>
    <row r="147" spans="3:8" ht="15.75" customHeight="1">
      <c r="C147" s="532"/>
      <c r="D147" s="532"/>
      <c r="E147" s="532"/>
      <c r="F147" s="532"/>
      <c r="G147" s="532"/>
      <c r="H147" s="532"/>
    </row>
    <row r="148" spans="3:8" ht="15.75" customHeight="1">
      <c r="C148" s="532"/>
      <c r="D148" s="532"/>
      <c r="E148" s="532"/>
      <c r="F148" s="532"/>
      <c r="G148" s="532"/>
      <c r="H148" s="532"/>
    </row>
    <row r="149" spans="3:8" ht="15.75" customHeight="1">
      <c r="C149" s="532"/>
      <c r="D149" s="532"/>
      <c r="E149" s="532"/>
      <c r="F149" s="532"/>
      <c r="G149" s="532"/>
      <c r="H149" s="532"/>
    </row>
    <row r="150" spans="3:8" ht="15.75" customHeight="1">
      <c r="C150" s="532"/>
      <c r="D150" s="532"/>
      <c r="E150" s="532"/>
      <c r="F150" s="532"/>
      <c r="G150" s="532"/>
      <c r="H150" s="532"/>
    </row>
    <row r="151" spans="3:8" ht="15.75" customHeight="1">
      <c r="C151" s="532"/>
      <c r="D151" s="532"/>
      <c r="E151" s="532"/>
      <c r="F151" s="532"/>
      <c r="G151" s="532"/>
      <c r="H151" s="532"/>
    </row>
    <row r="152" spans="3:8" ht="15.75" customHeight="1">
      <c r="C152" s="532"/>
      <c r="D152" s="532"/>
      <c r="E152" s="532"/>
      <c r="F152" s="532"/>
      <c r="G152" s="532"/>
      <c r="H152" s="532"/>
    </row>
    <row r="153" spans="3:8" ht="15.75" customHeight="1">
      <c r="C153" s="532"/>
      <c r="D153" s="532"/>
      <c r="E153" s="532"/>
      <c r="F153" s="532"/>
      <c r="G153" s="532"/>
      <c r="H153" s="532"/>
    </row>
    <row r="154" spans="3:8" ht="15.75" customHeight="1">
      <c r="C154" s="532"/>
      <c r="D154" s="532"/>
      <c r="E154" s="532"/>
      <c r="F154" s="532"/>
      <c r="G154" s="532"/>
      <c r="H154" s="532"/>
    </row>
    <row r="155" spans="3:8" ht="15.75" customHeight="1">
      <c r="C155" s="532"/>
      <c r="D155" s="532"/>
      <c r="E155" s="532"/>
      <c r="F155" s="532"/>
      <c r="G155" s="532"/>
      <c r="H155" s="532"/>
    </row>
    <row r="156" spans="3:8" ht="15.75" customHeight="1">
      <c r="C156" s="532"/>
      <c r="D156" s="532"/>
      <c r="E156" s="532"/>
      <c r="F156" s="532"/>
      <c r="G156" s="532"/>
      <c r="H156" s="532"/>
    </row>
    <row r="157" spans="3:8" ht="15.75" customHeight="1">
      <c r="C157" s="532"/>
      <c r="D157" s="532"/>
      <c r="E157" s="532"/>
      <c r="F157" s="532"/>
      <c r="G157" s="532"/>
      <c r="H157" s="532"/>
    </row>
    <row r="158" spans="3:8" ht="15.75" customHeight="1">
      <c r="C158" s="532"/>
      <c r="D158" s="532"/>
      <c r="E158" s="532"/>
      <c r="F158" s="532"/>
      <c r="G158" s="532"/>
      <c r="H158" s="532"/>
    </row>
    <row r="159" spans="3:8" ht="15.75" customHeight="1">
      <c r="C159" s="532"/>
      <c r="D159" s="532"/>
      <c r="E159" s="532"/>
      <c r="F159" s="532"/>
      <c r="G159" s="532"/>
      <c r="H159" s="532"/>
    </row>
  </sheetData>
  <mergeCells count="5">
    <mergeCell ref="E2:E3"/>
    <mergeCell ref="F2:F3"/>
    <mergeCell ref="G2:G3"/>
    <mergeCell ref="C68:C69"/>
    <mergeCell ref="G68:G69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00B050"/>
  </sheetPr>
  <dimension ref="A1:M159"/>
  <sheetViews>
    <sheetView zoomScaleSheetLayoutView="85" workbookViewId="0">
      <selection activeCell="A2" sqref="A2"/>
    </sheetView>
  </sheetViews>
  <sheetFormatPr defaultRowHeight="15.75" customHeight="1"/>
  <cols>
    <col min="1" max="2" width="2.625" style="506" customWidth="1"/>
    <col min="3" max="3" width="19.125" style="506" customWidth="1"/>
    <col min="4" max="89" width="16.125" style="506" customWidth="1"/>
    <col min="90" max="16384" width="9" style="506"/>
  </cols>
  <sheetData>
    <row r="1" spans="1:13" s="503" customFormat="1" ht="15.75" customHeight="1">
      <c r="A1" s="500" t="str">
        <f>기본사항!$C$2</f>
        <v>(재)한국여성재단</v>
      </c>
      <c r="B1" s="501"/>
      <c r="C1" s="501"/>
      <c r="D1" s="501"/>
      <c r="E1" s="504" t="s">
        <v>112</v>
      </c>
      <c r="F1" s="502" t="s">
        <v>2360</v>
      </c>
      <c r="G1" s="502" t="s">
        <v>1</v>
      </c>
    </row>
    <row r="2" spans="1:13" s="503" customFormat="1" ht="15.75" customHeight="1">
      <c r="A2" s="500" t="str">
        <f>기본사항!G2&amp;"년 세무조정 - 세액공제"</f>
        <v>2011년 세무조정 - 세액공제</v>
      </c>
      <c r="B2" s="501"/>
      <c r="C2" s="501"/>
      <c r="D2" s="501"/>
      <c r="E2" s="1342" t="s">
        <v>2364</v>
      </c>
      <c r="F2" s="1344">
        <f>기본사항!$C$14</f>
        <v>40563</v>
      </c>
      <c r="G2" s="1345" t="str">
        <f>기본사항!$C$17</f>
        <v>Kbj</v>
      </c>
      <c r="H2" s="591" t="s">
        <v>2493</v>
      </c>
    </row>
    <row r="3" spans="1:13" s="503" customFormat="1" ht="15.75" customHeight="1">
      <c r="A3" s="500" t="str">
        <f>기본사항!$C$9</f>
        <v>A : 12-31-2011</v>
      </c>
      <c r="B3" s="501"/>
      <c r="C3" s="501"/>
      <c r="D3" s="501"/>
      <c r="E3" s="1343"/>
      <c r="F3" s="1344"/>
      <c r="G3" s="1346"/>
      <c r="H3" s="591" t="s">
        <v>2494</v>
      </c>
    </row>
    <row r="5" spans="1:13" ht="15.75" customHeight="1">
      <c r="A5" s="505" t="s">
        <v>2341</v>
      </c>
      <c r="B5" s="505"/>
      <c r="J5" s="545"/>
      <c r="K5" s="545"/>
      <c r="L5" s="545"/>
      <c r="M5" s="545"/>
    </row>
    <row r="6" spans="1:13" ht="15.75" customHeight="1">
      <c r="C6" s="507" t="s">
        <v>2342</v>
      </c>
      <c r="D6" s="508"/>
      <c r="E6" s="508"/>
      <c r="F6" s="508" t="s">
        <v>2343</v>
      </c>
      <c r="G6" s="508"/>
      <c r="H6" s="509"/>
      <c r="J6" s="545"/>
      <c r="K6" s="545"/>
      <c r="L6" s="545"/>
      <c r="M6" s="545"/>
    </row>
    <row r="7" spans="1:13" ht="15.75" customHeight="1">
      <c r="C7" s="510" t="s">
        <v>2344</v>
      </c>
      <c r="D7" s="511" t="s">
        <v>2345</v>
      </c>
      <c r="E7" s="511" t="s">
        <v>2346</v>
      </c>
      <c r="F7" s="511" t="s">
        <v>2344</v>
      </c>
      <c r="G7" s="511" t="s">
        <v>2345</v>
      </c>
      <c r="H7" s="512" t="s">
        <v>2346</v>
      </c>
      <c r="J7" s="568"/>
      <c r="K7" s="568"/>
      <c r="L7" s="568"/>
      <c r="M7" s="568"/>
    </row>
    <row r="8" spans="1:13" ht="15.75" customHeight="1">
      <c r="C8" s="514"/>
      <c r="D8" s="515"/>
      <c r="E8" s="601"/>
      <c r="F8" s="516"/>
      <c r="G8" s="515"/>
      <c r="H8" s="554"/>
      <c r="J8" s="569"/>
      <c r="K8" s="569"/>
      <c r="L8" s="569"/>
      <c r="M8" s="569"/>
    </row>
    <row r="9" spans="1:13" ht="15.75" customHeight="1">
      <c r="C9" s="514"/>
      <c r="D9" s="515"/>
      <c r="E9" s="601"/>
      <c r="F9" s="516"/>
      <c r="G9" s="515"/>
      <c r="H9" s="554"/>
      <c r="J9" s="569"/>
      <c r="K9" s="569"/>
      <c r="L9" s="569"/>
      <c r="M9" s="569"/>
    </row>
    <row r="10" spans="1:13" ht="15.75" customHeight="1">
      <c r="C10" s="514"/>
      <c r="D10" s="515"/>
      <c r="E10" s="601"/>
      <c r="F10" s="516"/>
      <c r="G10" s="515"/>
      <c r="H10" s="554"/>
      <c r="J10" s="545"/>
      <c r="K10" s="545"/>
      <c r="L10" s="545"/>
      <c r="M10" s="545"/>
    </row>
    <row r="11" spans="1:13" ht="15.75" customHeight="1">
      <c r="C11" s="514"/>
      <c r="D11" s="515"/>
      <c r="E11" s="601"/>
      <c r="F11" s="516"/>
      <c r="G11" s="515"/>
      <c r="H11" s="554"/>
      <c r="J11" s="545"/>
      <c r="K11" s="545"/>
      <c r="L11" s="545"/>
      <c r="M11" s="545"/>
    </row>
    <row r="12" spans="1:13" ht="15.75" customHeight="1">
      <c r="C12" s="523"/>
      <c r="D12" s="524"/>
      <c r="E12" s="518"/>
      <c r="F12" s="526"/>
      <c r="G12" s="524"/>
      <c r="H12" s="595"/>
    </row>
    <row r="13" spans="1:13" ht="15.75" customHeight="1">
      <c r="C13" s="523" t="s">
        <v>2587</v>
      </c>
      <c r="D13" s="524"/>
      <c r="E13" s="518"/>
      <c r="F13" s="526"/>
      <c r="G13" s="524"/>
      <c r="H13" s="595"/>
    </row>
    <row r="14" spans="1:13" ht="15.75" customHeight="1">
      <c r="C14" s="523"/>
      <c r="D14" s="524">
        <f>SUM(D8:D13)</f>
        <v>0</v>
      </c>
      <c r="E14" s="525"/>
      <c r="F14" s="526"/>
      <c r="G14" s="524">
        <f>SUM(G8:G13)</f>
        <v>0</v>
      </c>
      <c r="H14" s="527"/>
    </row>
    <row r="16" spans="1:13" ht="15.75" customHeight="1">
      <c r="A16" s="505" t="s">
        <v>2574</v>
      </c>
      <c r="B16" s="505"/>
    </row>
    <row r="17" spans="1:8" ht="15.75" customHeight="1">
      <c r="A17" s="528"/>
      <c r="B17" s="528"/>
      <c r="C17" s="530"/>
      <c r="D17" s="598"/>
      <c r="E17" s="532"/>
      <c r="F17" s="532"/>
      <c r="G17" s="532"/>
      <c r="H17" s="532"/>
    </row>
    <row r="18" spans="1:8" ht="15.75" customHeight="1">
      <c r="A18" s="528"/>
      <c r="B18" s="528"/>
      <c r="C18" s="530"/>
      <c r="D18" s="598"/>
      <c r="E18" s="532"/>
      <c r="F18" s="532"/>
      <c r="G18" s="532"/>
      <c r="H18" s="532"/>
    </row>
    <row r="19" spans="1:8" ht="15.75" customHeight="1">
      <c r="A19" s="528"/>
      <c r="B19" s="528"/>
      <c r="C19" s="530"/>
      <c r="D19" s="598"/>
      <c r="E19" s="532"/>
      <c r="F19" s="532"/>
      <c r="G19" s="532"/>
      <c r="H19" s="532"/>
    </row>
    <row r="20" spans="1:8" ht="15.75" customHeight="1">
      <c r="A20" s="528"/>
      <c r="B20" s="528"/>
      <c r="C20" s="530"/>
      <c r="D20" s="598"/>
      <c r="E20" s="532"/>
      <c r="F20" s="532"/>
      <c r="G20" s="532"/>
      <c r="H20" s="532"/>
    </row>
    <row r="21" spans="1:8" ht="15.75" customHeight="1">
      <c r="A21" s="528"/>
      <c r="B21" s="528"/>
      <c r="C21" s="530"/>
      <c r="D21" s="598"/>
      <c r="E21" s="532"/>
      <c r="F21" s="532"/>
      <c r="G21" s="532"/>
      <c r="H21" s="532"/>
    </row>
    <row r="22" spans="1:8" ht="15.75" customHeight="1">
      <c r="A22" s="528"/>
      <c r="B22" s="528"/>
      <c r="C22" s="530"/>
      <c r="D22" s="598"/>
      <c r="E22" s="532"/>
      <c r="F22" s="532"/>
      <c r="G22" s="532"/>
      <c r="H22" s="532"/>
    </row>
    <row r="23" spans="1:8" ht="15.75" customHeight="1">
      <c r="A23" s="528"/>
      <c r="B23" s="528"/>
      <c r="C23" s="530"/>
      <c r="D23" s="598"/>
      <c r="E23" s="532"/>
      <c r="F23" s="532"/>
      <c r="G23" s="532"/>
      <c r="H23" s="532"/>
    </row>
    <row r="24" spans="1:8" ht="15.75" customHeight="1">
      <c r="A24" s="528"/>
      <c r="B24" s="528"/>
      <c r="C24" s="530"/>
      <c r="D24" s="598"/>
      <c r="E24" s="532"/>
      <c r="F24" s="532"/>
      <c r="G24" s="532"/>
      <c r="H24" s="532"/>
    </row>
    <row r="25" spans="1:8" ht="15.75" customHeight="1">
      <c r="A25" s="528"/>
      <c r="B25" s="528"/>
      <c r="C25" s="530"/>
      <c r="D25" s="598"/>
      <c r="E25" s="532"/>
      <c r="F25" s="532"/>
      <c r="G25" s="532"/>
      <c r="H25" s="532"/>
    </row>
    <row r="26" spans="1:8" ht="15.75" customHeight="1">
      <c r="A26" s="528"/>
      <c r="B26" s="528"/>
      <c r="C26" s="530"/>
      <c r="D26" s="598"/>
      <c r="E26" s="532"/>
      <c r="F26" s="532"/>
      <c r="G26" s="532"/>
      <c r="H26" s="532"/>
    </row>
    <row r="27" spans="1:8" ht="15.75" customHeight="1">
      <c r="A27" s="528"/>
      <c r="B27" s="528"/>
      <c r="C27" s="530"/>
      <c r="D27" s="598"/>
      <c r="E27" s="532"/>
      <c r="F27" s="532"/>
      <c r="G27" s="532"/>
      <c r="H27" s="532"/>
    </row>
    <row r="28" spans="1:8" ht="15.75" customHeight="1">
      <c r="A28" s="528"/>
      <c r="B28" s="528"/>
      <c r="C28" s="530"/>
      <c r="D28" s="598"/>
      <c r="E28" s="532"/>
      <c r="F28" s="532"/>
      <c r="G28" s="532"/>
      <c r="H28" s="532"/>
    </row>
    <row r="29" spans="1:8" ht="15.75" customHeight="1">
      <c r="A29" s="528"/>
      <c r="B29" s="528"/>
      <c r="C29" s="530"/>
      <c r="D29" s="598"/>
      <c r="E29" s="532"/>
      <c r="F29" s="532"/>
      <c r="G29" s="532"/>
      <c r="H29" s="532"/>
    </row>
    <row r="30" spans="1:8" ht="15.75" customHeight="1">
      <c r="A30" s="528"/>
      <c r="B30" s="528"/>
      <c r="C30" s="530"/>
      <c r="D30" s="598"/>
      <c r="E30" s="532"/>
      <c r="F30" s="532"/>
      <c r="G30" s="532"/>
      <c r="H30" s="532"/>
    </row>
    <row r="31" spans="1:8" ht="15.75" customHeight="1">
      <c r="A31" s="528"/>
      <c r="B31" s="528"/>
      <c r="C31" s="530"/>
      <c r="D31" s="598"/>
      <c r="E31" s="532"/>
      <c r="F31" s="532"/>
      <c r="G31" s="532"/>
      <c r="H31" s="532"/>
    </row>
    <row r="32" spans="1:8" ht="15.75" customHeight="1">
      <c r="A32" s="528"/>
      <c r="B32" s="528"/>
      <c r="C32" s="530"/>
      <c r="D32" s="598"/>
      <c r="E32" s="532"/>
      <c r="F32" s="532"/>
      <c r="G32" s="532"/>
      <c r="H32" s="532"/>
    </row>
    <row r="33" spans="1:9" ht="15.75" customHeight="1">
      <c r="A33" s="528"/>
      <c r="B33" s="528"/>
      <c r="C33" s="530"/>
      <c r="D33" s="598"/>
      <c r="E33" s="532"/>
      <c r="F33" s="532"/>
      <c r="G33" s="532"/>
      <c r="H33" s="532"/>
    </row>
    <row r="34" spans="1:9" ht="15.75" customHeight="1">
      <c r="A34" s="528"/>
      <c r="B34" s="528"/>
      <c r="C34" s="530"/>
      <c r="D34" s="598"/>
      <c r="E34" s="532"/>
      <c r="F34" s="532"/>
      <c r="G34" s="532"/>
      <c r="H34" s="532"/>
    </row>
    <row r="35" spans="1:9" ht="15.75" customHeight="1">
      <c r="A35" s="528"/>
      <c r="B35" s="528"/>
      <c r="C35" s="530"/>
      <c r="D35" s="598"/>
      <c r="E35" s="532"/>
      <c r="F35" s="532"/>
      <c r="G35" s="532"/>
      <c r="H35" s="532"/>
    </row>
    <row r="36" spans="1:9" ht="15.75" customHeight="1">
      <c r="A36" s="528"/>
      <c r="B36" s="528"/>
      <c r="C36" s="530"/>
      <c r="D36" s="598"/>
      <c r="E36" s="532"/>
      <c r="F36" s="532"/>
      <c r="G36" s="532"/>
      <c r="H36" s="532"/>
    </row>
    <row r="37" spans="1:9" ht="15.75" customHeight="1">
      <c r="A37" s="528"/>
      <c r="B37" s="528"/>
      <c r="C37" s="530"/>
      <c r="D37" s="598"/>
      <c r="E37" s="532"/>
      <c r="F37" s="532"/>
      <c r="G37" s="532"/>
      <c r="H37" s="532"/>
    </row>
    <row r="38" spans="1:9" ht="15.75" customHeight="1">
      <c r="A38" s="528"/>
      <c r="B38" s="528"/>
      <c r="C38" s="530"/>
      <c r="D38" s="598"/>
      <c r="E38" s="532"/>
      <c r="F38" s="532"/>
      <c r="G38" s="532"/>
      <c r="H38" s="532"/>
    </row>
    <row r="39" spans="1:9" ht="15.75" customHeight="1">
      <c r="A39" s="528"/>
      <c r="B39" s="528"/>
      <c r="C39" s="530"/>
      <c r="D39" s="598"/>
      <c r="E39" s="532"/>
      <c r="F39" s="532"/>
      <c r="G39" s="532"/>
      <c r="H39" s="532"/>
    </row>
    <row r="40" spans="1:9" ht="15.75" customHeight="1">
      <c r="A40" s="528"/>
      <c r="B40" s="528"/>
      <c r="C40" s="530"/>
      <c r="D40" s="598"/>
      <c r="E40" s="532"/>
      <c r="F40" s="532"/>
      <c r="G40" s="532"/>
      <c r="H40" s="532"/>
    </row>
    <row r="41" spans="1:9" ht="15.75" customHeight="1">
      <c r="A41" s="550"/>
      <c r="B41" s="550"/>
      <c r="C41" s="530"/>
      <c r="D41" s="598"/>
      <c r="E41" s="532"/>
      <c r="F41" s="532"/>
      <c r="G41" s="532"/>
      <c r="H41" s="532"/>
      <c r="I41" s="532"/>
    </row>
    <row r="42" spans="1:9" ht="15.75" customHeight="1">
      <c r="A42" s="550"/>
      <c r="B42" s="550"/>
      <c r="C42" s="530"/>
      <c r="D42" s="598"/>
      <c r="E42" s="532"/>
      <c r="F42" s="532"/>
      <c r="G42" s="532"/>
      <c r="H42" s="532"/>
      <c r="I42" s="532"/>
    </row>
    <row r="43" spans="1:9" ht="15.75" customHeight="1">
      <c r="A43" s="550"/>
      <c r="B43" s="550"/>
      <c r="C43" s="530"/>
      <c r="D43" s="598"/>
      <c r="E43" s="532"/>
      <c r="F43" s="532"/>
      <c r="G43" s="532"/>
      <c r="H43" s="532"/>
      <c r="I43" s="532"/>
    </row>
    <row r="44" spans="1:9" ht="15.75" customHeight="1">
      <c r="A44" s="550"/>
      <c r="B44" s="550"/>
      <c r="C44" s="530"/>
      <c r="D44" s="598"/>
      <c r="E44" s="532"/>
      <c r="F44" s="532"/>
      <c r="G44" s="532"/>
      <c r="H44" s="532"/>
      <c r="I44" s="532"/>
    </row>
    <row r="45" spans="1:9" ht="15.75" customHeight="1">
      <c r="A45" s="550"/>
      <c r="B45" s="550"/>
      <c r="C45" s="530"/>
      <c r="D45" s="598"/>
      <c r="E45" s="532"/>
      <c r="F45" s="532"/>
      <c r="G45" s="532"/>
      <c r="H45" s="532"/>
      <c r="I45" s="532"/>
    </row>
    <row r="46" spans="1:9" ht="15.75" customHeight="1">
      <c r="A46" s="550"/>
      <c r="B46" s="550"/>
      <c r="C46" s="598"/>
      <c r="D46" s="598"/>
      <c r="E46" s="532"/>
      <c r="F46" s="532"/>
      <c r="G46" s="532"/>
      <c r="H46" s="532"/>
      <c r="I46" s="532"/>
    </row>
    <row r="47" spans="1:9" ht="15.75" customHeight="1">
      <c r="A47" s="550"/>
      <c r="B47" s="550"/>
      <c r="C47" s="598"/>
      <c r="D47" s="598"/>
      <c r="E47" s="532"/>
      <c r="F47" s="532"/>
      <c r="G47" s="532"/>
      <c r="H47" s="532"/>
      <c r="I47" s="532"/>
    </row>
    <row r="48" spans="1:9" ht="15.75" customHeight="1">
      <c r="A48" s="550"/>
      <c r="B48" s="550"/>
      <c r="C48" s="598"/>
      <c r="D48" s="598"/>
      <c r="E48" s="532"/>
      <c r="F48" s="532"/>
      <c r="G48" s="532"/>
      <c r="H48" s="532"/>
      <c r="I48" s="532"/>
    </row>
    <row r="49" spans="1:9" ht="15.75" customHeight="1">
      <c r="A49" s="550"/>
      <c r="B49" s="550"/>
      <c r="C49" s="598"/>
      <c r="D49" s="598"/>
      <c r="E49" s="532"/>
      <c r="F49" s="532"/>
      <c r="G49" s="532"/>
      <c r="H49" s="532"/>
      <c r="I49" s="532"/>
    </row>
    <row r="50" spans="1:9" ht="15.75" customHeight="1">
      <c r="A50" s="550"/>
      <c r="B50" s="550"/>
      <c r="C50" s="598"/>
      <c r="D50" s="598"/>
      <c r="E50" s="532"/>
      <c r="F50" s="532"/>
      <c r="G50" s="532"/>
      <c r="H50" s="532"/>
      <c r="I50" s="532"/>
    </row>
    <row r="51" spans="1:9" ht="15.75" customHeight="1">
      <c r="A51" s="550"/>
      <c r="B51" s="550"/>
      <c r="C51" s="598"/>
      <c r="D51" s="598"/>
      <c r="E51" s="532"/>
      <c r="F51" s="532"/>
      <c r="G51" s="532"/>
      <c r="H51" s="532"/>
      <c r="I51" s="532"/>
    </row>
    <row r="52" spans="1:9" ht="15.75" customHeight="1">
      <c r="A52" s="550"/>
      <c r="B52" s="550"/>
      <c r="C52" s="530"/>
      <c r="D52" s="598"/>
      <c r="E52" s="532"/>
      <c r="F52" s="532"/>
      <c r="G52" s="532"/>
      <c r="H52" s="532"/>
      <c r="I52" s="532"/>
    </row>
    <row r="53" spans="1:9" ht="15.75" customHeight="1">
      <c r="A53" s="550"/>
      <c r="B53" s="550"/>
      <c r="C53" s="530"/>
      <c r="D53" s="598"/>
      <c r="E53" s="532"/>
      <c r="F53" s="532"/>
      <c r="G53" s="532"/>
      <c r="H53" s="532"/>
      <c r="I53" s="532"/>
    </row>
    <row r="54" spans="1:9" ht="15.75" customHeight="1">
      <c r="A54" s="550"/>
      <c r="B54" s="550"/>
      <c r="C54" s="598"/>
      <c r="D54" s="598"/>
      <c r="E54" s="532"/>
      <c r="F54" s="532"/>
      <c r="G54" s="532"/>
      <c r="H54" s="532"/>
      <c r="I54" s="532"/>
    </row>
    <row r="55" spans="1:9" ht="15.75" customHeight="1">
      <c r="A55" s="550"/>
      <c r="B55" s="550"/>
      <c r="C55" s="598"/>
      <c r="D55" s="598"/>
      <c r="E55" s="532"/>
      <c r="F55" s="532"/>
      <c r="G55" s="532"/>
      <c r="H55" s="532"/>
      <c r="I55" s="532"/>
    </row>
    <row r="56" spans="1:9" ht="15.75" customHeight="1">
      <c r="A56" s="550"/>
      <c r="B56" s="550"/>
      <c r="C56" s="598"/>
      <c r="D56" s="598"/>
      <c r="E56" s="532"/>
      <c r="F56" s="532"/>
      <c r="G56" s="532"/>
      <c r="H56" s="532"/>
      <c r="I56" s="532"/>
    </row>
    <row r="57" spans="1:9" ht="15.75" customHeight="1">
      <c r="A57" s="550"/>
      <c r="B57" s="550"/>
      <c r="C57" s="598"/>
      <c r="D57" s="598"/>
      <c r="E57" s="532"/>
      <c r="F57" s="532"/>
      <c r="G57" s="532"/>
      <c r="H57" s="532"/>
      <c r="I57" s="532"/>
    </row>
    <row r="58" spans="1:9" ht="15.75" customHeight="1">
      <c r="A58" s="550"/>
      <c r="B58" s="550"/>
      <c r="C58" s="598"/>
      <c r="D58" s="598"/>
      <c r="E58" s="532"/>
      <c r="F58" s="532"/>
      <c r="G58" s="532"/>
      <c r="H58" s="532"/>
      <c r="I58" s="532"/>
    </row>
    <row r="59" spans="1:9" ht="15.75" customHeight="1">
      <c r="A59" s="550"/>
      <c r="B59" s="550"/>
      <c r="C59" s="598"/>
      <c r="D59" s="598"/>
      <c r="E59" s="532"/>
      <c r="F59" s="532"/>
      <c r="G59" s="532"/>
      <c r="H59" s="532"/>
      <c r="I59" s="532"/>
    </row>
    <row r="60" spans="1:9" ht="15.75" customHeight="1">
      <c r="A60" s="550"/>
      <c r="B60" s="550"/>
      <c r="C60" s="598"/>
      <c r="D60" s="598"/>
      <c r="E60" s="532"/>
      <c r="F60" s="532"/>
      <c r="G60" s="532"/>
      <c r="H60" s="532"/>
      <c r="I60" s="532"/>
    </row>
    <row r="61" spans="1:9" ht="15.75" customHeight="1">
      <c r="A61" s="550"/>
      <c r="B61" s="550"/>
      <c r="C61" s="598"/>
      <c r="D61" s="598"/>
      <c r="E61" s="532"/>
      <c r="F61" s="532"/>
      <c r="G61" s="532"/>
      <c r="H61" s="532"/>
      <c r="I61" s="532"/>
    </row>
    <row r="62" spans="1:9" ht="15.75" customHeight="1">
      <c r="A62" s="550"/>
      <c r="B62" s="550"/>
      <c r="C62" s="598"/>
      <c r="D62" s="598"/>
      <c r="E62" s="532"/>
      <c r="F62" s="532"/>
      <c r="G62" s="532"/>
      <c r="H62" s="532"/>
      <c r="I62" s="532"/>
    </row>
    <row r="63" spans="1:9" ht="15.75" customHeight="1">
      <c r="A63" s="550"/>
      <c r="B63" s="550"/>
      <c r="C63" s="598"/>
      <c r="D63" s="598"/>
      <c r="E63" s="532"/>
      <c r="F63" s="532"/>
      <c r="G63" s="532"/>
      <c r="H63" s="532"/>
      <c r="I63" s="532"/>
    </row>
    <row r="64" spans="1:9" ht="15.75" customHeight="1">
      <c r="A64" s="550"/>
      <c r="B64" s="550"/>
      <c r="C64" s="598"/>
      <c r="D64" s="598"/>
      <c r="E64" s="532"/>
      <c r="F64" s="532"/>
      <c r="G64" s="532"/>
      <c r="H64" s="532"/>
      <c r="I64" s="532"/>
    </row>
    <row r="65" spans="1:9" ht="15.75" customHeight="1">
      <c r="A65" s="550"/>
      <c r="B65" s="550"/>
      <c r="C65" s="598"/>
      <c r="D65" s="598"/>
      <c r="E65" s="532"/>
      <c r="F65" s="532"/>
      <c r="G65" s="532"/>
      <c r="H65" s="532"/>
      <c r="I65" s="532"/>
    </row>
    <row r="66" spans="1:9" ht="15.75" customHeight="1">
      <c r="A66" s="550"/>
      <c r="B66" s="550"/>
      <c r="C66" s="536"/>
      <c r="D66" s="532"/>
      <c r="E66" s="532"/>
      <c r="F66" s="532"/>
      <c r="G66" s="532"/>
      <c r="H66" s="532"/>
      <c r="I66" s="532"/>
    </row>
    <row r="67" spans="1:9" ht="15.75" customHeight="1">
      <c r="A67" s="550"/>
      <c r="B67" s="550"/>
      <c r="C67" s="598"/>
      <c r="D67" s="598"/>
      <c r="E67" s="598"/>
      <c r="F67" s="598"/>
      <c r="G67" s="598"/>
      <c r="H67" s="532"/>
      <c r="I67" s="532"/>
    </row>
    <row r="68" spans="1:9" ht="15.75" customHeight="1">
      <c r="A68" s="530"/>
      <c r="B68" s="530"/>
      <c r="C68" s="1362"/>
      <c r="D68" s="598"/>
      <c r="E68" s="598"/>
      <c r="F68" s="598"/>
      <c r="G68" s="1362"/>
      <c r="H68" s="532"/>
      <c r="I68" s="532"/>
    </row>
    <row r="69" spans="1:9" ht="15.75" customHeight="1">
      <c r="A69" s="530"/>
      <c r="B69" s="530"/>
      <c r="C69" s="1362"/>
      <c r="D69" s="598"/>
      <c r="E69" s="598"/>
      <c r="F69" s="598"/>
      <c r="G69" s="1362"/>
      <c r="H69" s="532"/>
      <c r="I69" s="532"/>
    </row>
    <row r="70" spans="1:9" ht="15.75" customHeight="1">
      <c r="A70" s="530"/>
      <c r="B70" s="530"/>
      <c r="C70" s="530"/>
      <c r="D70" s="598"/>
      <c r="E70" s="598"/>
      <c r="F70" s="598"/>
      <c r="G70" s="598"/>
      <c r="H70" s="532"/>
      <c r="I70" s="532"/>
    </row>
    <row r="71" spans="1:9" ht="15.75" customHeight="1">
      <c r="A71" s="530"/>
      <c r="B71" s="530"/>
      <c r="C71" s="598"/>
      <c r="D71" s="598"/>
      <c r="E71" s="598"/>
      <c r="F71" s="598"/>
      <c r="G71" s="598"/>
      <c r="H71" s="532"/>
      <c r="I71" s="532"/>
    </row>
    <row r="72" spans="1:9" ht="15.75" customHeight="1">
      <c r="A72" s="530"/>
      <c r="B72" s="530"/>
      <c r="C72" s="598"/>
      <c r="D72" s="598"/>
      <c r="E72" s="598"/>
      <c r="F72" s="598"/>
      <c r="G72" s="598"/>
      <c r="H72" s="532"/>
      <c r="I72" s="532"/>
    </row>
    <row r="73" spans="1:9" ht="15.75" customHeight="1">
      <c r="A73" s="530"/>
      <c r="B73" s="530"/>
      <c r="C73" s="530"/>
      <c r="D73" s="598"/>
      <c r="E73" s="598"/>
      <c r="F73" s="598"/>
      <c r="G73" s="532"/>
      <c r="H73" s="532"/>
      <c r="I73" s="532"/>
    </row>
    <row r="74" spans="1:9" ht="15.75" customHeight="1">
      <c r="A74" s="530"/>
      <c r="B74" s="530"/>
      <c r="C74" s="530"/>
      <c r="D74" s="598"/>
      <c r="E74" s="598"/>
      <c r="F74" s="598"/>
      <c r="G74" s="598"/>
      <c r="H74" s="532"/>
      <c r="I74" s="532"/>
    </row>
    <row r="75" spans="1:9" ht="15.75" customHeight="1">
      <c r="A75" s="530"/>
      <c r="B75" s="530"/>
      <c r="C75" s="598"/>
      <c r="D75" s="598"/>
      <c r="E75" s="598"/>
      <c r="F75" s="598"/>
      <c r="G75" s="598"/>
      <c r="H75" s="532"/>
      <c r="I75" s="532"/>
    </row>
    <row r="76" spans="1:9" ht="15.75" customHeight="1">
      <c r="A76" s="530"/>
      <c r="B76" s="530"/>
      <c r="C76" s="598"/>
      <c r="D76" s="598"/>
      <c r="E76" s="598"/>
      <c r="F76" s="598"/>
      <c r="G76" s="598"/>
      <c r="H76" s="532"/>
      <c r="I76" s="532"/>
    </row>
    <row r="77" spans="1:9" ht="15.75" customHeight="1">
      <c r="A77" s="530"/>
      <c r="B77" s="530"/>
      <c r="C77" s="598"/>
      <c r="D77" s="598"/>
      <c r="E77" s="598"/>
      <c r="F77" s="598"/>
      <c r="G77" s="598"/>
      <c r="H77" s="532"/>
      <c r="I77" s="532"/>
    </row>
    <row r="78" spans="1:9" ht="15.75" customHeight="1">
      <c r="A78" s="530"/>
      <c r="B78" s="530"/>
      <c r="C78" s="598"/>
      <c r="D78" s="598"/>
      <c r="E78" s="598"/>
      <c r="F78" s="598"/>
      <c r="G78" s="598"/>
      <c r="H78" s="532"/>
      <c r="I78" s="532"/>
    </row>
    <row r="79" spans="1:9" ht="15.75" customHeight="1">
      <c r="A79" s="530"/>
      <c r="B79" s="530"/>
      <c r="C79" s="598"/>
      <c r="D79" s="598"/>
      <c r="E79" s="598"/>
      <c r="F79" s="598"/>
      <c r="G79" s="598"/>
      <c r="H79" s="532"/>
      <c r="I79" s="532"/>
    </row>
    <row r="80" spans="1:9" ht="15.75" customHeight="1">
      <c r="A80" s="530"/>
      <c r="B80" s="530"/>
      <c r="C80" s="598"/>
      <c r="D80" s="598"/>
      <c r="E80" s="598"/>
      <c r="F80" s="598"/>
      <c r="G80" s="598"/>
      <c r="H80" s="532"/>
      <c r="I80" s="532"/>
    </row>
    <row r="81" spans="1:9" ht="15.75" customHeight="1">
      <c r="A81" s="530"/>
      <c r="B81" s="530"/>
      <c r="C81" s="598"/>
      <c r="D81" s="598"/>
      <c r="E81" s="598"/>
      <c r="F81" s="598"/>
      <c r="G81" s="598"/>
      <c r="H81" s="532"/>
      <c r="I81" s="532"/>
    </row>
    <row r="82" spans="1:9" ht="15.75" customHeight="1">
      <c r="A82" s="537"/>
      <c r="B82" s="537"/>
      <c r="C82" s="530"/>
      <c r="D82" s="598"/>
      <c r="E82" s="598"/>
      <c r="F82" s="598"/>
      <c r="G82" s="598"/>
      <c r="H82" s="532"/>
    </row>
    <row r="83" spans="1:9" ht="15.75" customHeight="1">
      <c r="A83" s="537"/>
      <c r="B83" s="537"/>
      <c r="C83" s="530"/>
      <c r="D83" s="598"/>
      <c r="E83" s="598"/>
      <c r="F83" s="598"/>
      <c r="G83" s="598"/>
      <c r="H83" s="532"/>
    </row>
    <row r="84" spans="1:9" ht="15.75" customHeight="1">
      <c r="A84" s="537"/>
      <c r="B84" s="537"/>
      <c r="C84" s="530"/>
      <c r="D84" s="598"/>
      <c r="E84" s="598"/>
      <c r="F84" s="598"/>
      <c r="G84" s="598"/>
      <c r="H84" s="532"/>
    </row>
    <row r="85" spans="1:9" ht="15.75" customHeight="1">
      <c r="A85" s="537"/>
      <c r="B85" s="537"/>
      <c r="C85" s="530"/>
      <c r="D85" s="598"/>
      <c r="E85" s="598"/>
      <c r="F85" s="598"/>
      <c r="G85" s="598"/>
      <c r="H85" s="532"/>
    </row>
    <row r="86" spans="1:9" ht="15.75" customHeight="1">
      <c r="A86" s="537"/>
      <c r="B86" s="537"/>
      <c r="C86" s="598"/>
      <c r="D86" s="598"/>
      <c r="E86" s="598"/>
      <c r="F86" s="598"/>
      <c r="G86" s="598"/>
      <c r="H86" s="532"/>
    </row>
    <row r="87" spans="1:9" ht="15.75" customHeight="1">
      <c r="A87" s="537"/>
      <c r="B87" s="537"/>
      <c r="C87" s="530"/>
      <c r="D87" s="598"/>
      <c r="E87" s="598"/>
      <c r="F87" s="598"/>
      <c r="G87" s="598"/>
      <c r="H87" s="532"/>
    </row>
    <row r="88" spans="1:9" ht="15.75" customHeight="1">
      <c r="A88" s="537"/>
      <c r="B88" s="537"/>
      <c r="C88" s="530"/>
      <c r="D88" s="598"/>
      <c r="E88" s="598"/>
      <c r="F88" s="598"/>
      <c r="G88" s="598"/>
      <c r="H88" s="532"/>
    </row>
    <row r="89" spans="1:9" ht="15.75" customHeight="1">
      <c r="A89" s="537"/>
      <c r="B89" s="537"/>
      <c r="C89" s="530"/>
      <c r="D89" s="598"/>
      <c r="E89" s="598"/>
      <c r="F89" s="598"/>
      <c r="G89" s="598"/>
      <c r="H89" s="532"/>
    </row>
    <row r="90" spans="1:9" ht="15.75" customHeight="1">
      <c r="A90" s="537"/>
      <c r="B90" s="537"/>
      <c r="C90" s="530"/>
      <c r="D90" s="598"/>
      <c r="E90" s="598"/>
      <c r="F90" s="598"/>
      <c r="G90" s="598"/>
      <c r="H90" s="532"/>
    </row>
    <row r="91" spans="1:9" ht="15.75" customHeight="1">
      <c r="A91" s="537"/>
      <c r="B91" s="537"/>
      <c r="C91" s="530"/>
      <c r="D91" s="598"/>
      <c r="E91" s="598"/>
      <c r="F91" s="598"/>
      <c r="G91" s="598"/>
      <c r="H91" s="532"/>
    </row>
    <row r="92" spans="1:9" ht="15.75" customHeight="1">
      <c r="A92" s="537"/>
      <c r="B92" s="537"/>
      <c r="C92" s="598"/>
      <c r="D92" s="598"/>
      <c r="E92" s="598"/>
      <c r="F92" s="598"/>
      <c r="G92" s="598"/>
      <c r="H92" s="532"/>
    </row>
    <row r="93" spans="1:9" ht="15.75" customHeight="1">
      <c r="A93" s="537"/>
      <c r="B93" s="537"/>
      <c r="C93" s="598"/>
      <c r="D93" s="598"/>
      <c r="E93" s="598"/>
      <c r="F93" s="598"/>
      <c r="G93" s="598"/>
      <c r="H93" s="532"/>
    </row>
    <row r="94" spans="1:9" ht="15.75" customHeight="1">
      <c r="A94" s="537"/>
      <c r="B94" s="537"/>
      <c r="C94" s="598"/>
      <c r="D94" s="598"/>
      <c r="E94" s="598"/>
      <c r="F94" s="598"/>
      <c r="G94" s="598"/>
      <c r="H94" s="532"/>
    </row>
    <row r="95" spans="1:9" ht="15.75" customHeight="1">
      <c r="A95" s="537"/>
      <c r="B95" s="537"/>
      <c r="C95" s="598"/>
      <c r="D95" s="598"/>
      <c r="E95" s="598"/>
      <c r="F95" s="598"/>
      <c r="G95" s="598"/>
      <c r="H95" s="532"/>
    </row>
    <row r="96" spans="1:9" ht="15.75" customHeight="1">
      <c r="A96" s="537"/>
      <c r="B96" s="537"/>
      <c r="C96" s="530"/>
      <c r="D96" s="598"/>
      <c r="E96" s="598"/>
      <c r="F96" s="598"/>
      <c r="G96" s="598"/>
      <c r="H96" s="532"/>
    </row>
    <row r="97" spans="1:8" ht="15.75" customHeight="1">
      <c r="A97" s="537"/>
      <c r="B97" s="537"/>
      <c r="C97" s="530"/>
      <c r="D97" s="598"/>
      <c r="E97" s="598"/>
      <c r="F97" s="598"/>
      <c r="G97" s="598"/>
      <c r="H97" s="532"/>
    </row>
    <row r="98" spans="1:8" ht="15.75" customHeight="1">
      <c r="A98" s="537"/>
      <c r="B98" s="537"/>
      <c r="C98" s="598"/>
      <c r="D98" s="598"/>
      <c r="E98" s="598"/>
      <c r="F98" s="598"/>
      <c r="G98" s="598"/>
      <c r="H98" s="532"/>
    </row>
    <row r="99" spans="1:8" ht="15.75" customHeight="1">
      <c r="A99" s="538"/>
      <c r="B99" s="538"/>
      <c r="C99" s="598"/>
      <c r="D99" s="598"/>
      <c r="E99" s="598"/>
      <c r="F99" s="598"/>
      <c r="G99" s="598"/>
      <c r="H99" s="532"/>
    </row>
    <row r="100" spans="1:8" ht="15.75" customHeight="1">
      <c r="A100" s="538"/>
      <c r="B100" s="538"/>
      <c r="C100" s="598"/>
      <c r="D100" s="598"/>
      <c r="E100" s="598"/>
      <c r="F100" s="598"/>
      <c r="G100" s="598"/>
      <c r="H100" s="532"/>
    </row>
    <row r="101" spans="1:8" ht="15.75" customHeight="1">
      <c r="A101" s="538"/>
      <c r="B101" s="538"/>
      <c r="C101" s="598"/>
      <c r="D101" s="598"/>
      <c r="E101" s="598"/>
      <c r="F101" s="598"/>
      <c r="G101" s="598"/>
      <c r="H101" s="532"/>
    </row>
    <row r="102" spans="1:8" ht="15.75" customHeight="1">
      <c r="A102" s="538"/>
      <c r="B102" s="538"/>
      <c r="C102" s="598"/>
      <c r="D102" s="598"/>
      <c r="E102" s="598"/>
      <c r="F102" s="598"/>
      <c r="G102" s="598"/>
      <c r="H102" s="532"/>
    </row>
    <row r="103" spans="1:8" ht="15.75" customHeight="1">
      <c r="A103" s="538"/>
      <c r="B103" s="538"/>
      <c r="C103" s="598"/>
      <c r="D103" s="598"/>
      <c r="E103" s="598"/>
      <c r="F103" s="598"/>
      <c r="G103" s="598"/>
      <c r="H103" s="532"/>
    </row>
    <row r="104" spans="1:8" ht="15.75" customHeight="1">
      <c r="A104" s="538"/>
      <c r="B104" s="538"/>
      <c r="C104" s="530"/>
      <c r="D104" s="598"/>
      <c r="E104" s="598"/>
      <c r="F104" s="598"/>
      <c r="G104" s="598"/>
      <c r="H104" s="532"/>
    </row>
    <row r="105" spans="1:8" ht="15.75" customHeight="1">
      <c r="A105" s="538"/>
      <c r="B105" s="538"/>
      <c r="C105" s="530"/>
      <c r="D105" s="598"/>
      <c r="E105" s="598"/>
      <c r="F105" s="598"/>
      <c r="G105" s="598"/>
      <c r="H105" s="532"/>
    </row>
    <row r="106" spans="1:8" ht="15.75" customHeight="1">
      <c r="A106" s="538"/>
      <c r="B106" s="538"/>
      <c r="C106" s="598"/>
      <c r="D106" s="598"/>
      <c r="E106" s="598"/>
      <c r="F106" s="598"/>
      <c r="G106" s="598"/>
      <c r="H106" s="532"/>
    </row>
    <row r="107" spans="1:8" ht="15.75" customHeight="1">
      <c r="A107" s="539"/>
      <c r="B107" s="539"/>
      <c r="C107" s="532"/>
      <c r="D107" s="532"/>
      <c r="E107" s="532"/>
      <c r="F107" s="532"/>
      <c r="G107" s="532"/>
      <c r="H107" s="532"/>
    </row>
    <row r="108" spans="1:8" ht="15.75" customHeight="1">
      <c r="A108" s="539"/>
      <c r="B108" s="539"/>
      <c r="C108" s="532"/>
      <c r="D108" s="532"/>
      <c r="E108" s="532"/>
      <c r="F108" s="532"/>
      <c r="G108" s="532"/>
      <c r="H108" s="532"/>
    </row>
    <row r="109" spans="1:8" ht="15.75" customHeight="1">
      <c r="A109" s="539"/>
      <c r="B109" s="539"/>
      <c r="C109" s="598"/>
      <c r="D109" s="598"/>
      <c r="E109" s="532"/>
      <c r="F109" s="532"/>
      <c r="G109" s="532"/>
      <c r="H109" s="532"/>
    </row>
    <row r="110" spans="1:8" ht="15.75" customHeight="1">
      <c r="A110" s="539"/>
      <c r="B110" s="539"/>
      <c r="C110" s="532"/>
      <c r="D110" s="532"/>
      <c r="E110" s="532"/>
      <c r="F110" s="532"/>
      <c r="G110" s="532"/>
      <c r="H110" s="532"/>
    </row>
    <row r="111" spans="1:8" ht="15.75" customHeight="1">
      <c r="A111" s="540"/>
      <c r="B111" s="540"/>
      <c r="C111" s="541"/>
      <c r="D111" s="536"/>
      <c r="E111" s="536"/>
      <c r="F111" s="532"/>
      <c r="G111" s="532"/>
      <c r="H111" s="532"/>
    </row>
    <row r="112" spans="1:8" ht="15.75" customHeight="1">
      <c r="A112" s="529"/>
      <c r="B112" s="529"/>
      <c r="C112" s="536"/>
      <c r="D112" s="536"/>
      <c r="E112" s="536"/>
      <c r="F112" s="532"/>
      <c r="G112" s="532"/>
      <c r="H112" s="532"/>
    </row>
    <row r="113" spans="1:8" ht="15.75" customHeight="1">
      <c r="A113" s="539"/>
      <c r="B113" s="539"/>
      <c r="C113" s="532"/>
      <c r="D113" s="532"/>
      <c r="E113" s="532"/>
      <c r="F113" s="532"/>
      <c r="G113" s="532"/>
      <c r="H113" s="532"/>
    </row>
    <row r="114" spans="1:8" ht="15.75" customHeight="1">
      <c r="A114" s="539"/>
      <c r="B114" s="539"/>
      <c r="C114" s="532"/>
      <c r="D114" s="532"/>
      <c r="E114" s="532"/>
      <c r="F114" s="532"/>
      <c r="G114" s="532"/>
      <c r="H114" s="532"/>
    </row>
    <row r="115" spans="1:8" s="544" customFormat="1" ht="15.75" customHeight="1">
      <c r="A115" s="542"/>
      <c r="B115" s="542"/>
      <c r="C115" s="543"/>
      <c r="D115" s="543"/>
      <c r="E115" s="543"/>
      <c r="F115" s="536"/>
      <c r="G115" s="536"/>
      <c r="H115" s="536"/>
    </row>
    <row r="116" spans="1:8" s="544" customFormat="1" ht="15.75" customHeight="1">
      <c r="A116" s="529"/>
      <c r="B116" s="529"/>
      <c r="C116" s="536"/>
      <c r="D116" s="536"/>
      <c r="E116" s="536"/>
      <c r="F116" s="536"/>
      <c r="G116" s="536"/>
      <c r="H116" s="536"/>
    </row>
    <row r="117" spans="1:8" s="544" customFormat="1" ht="15.75" customHeight="1">
      <c r="A117" s="542"/>
      <c r="B117" s="542"/>
      <c r="C117" s="536"/>
      <c r="D117" s="536"/>
      <c r="E117" s="536"/>
      <c r="F117" s="536"/>
      <c r="G117" s="536"/>
      <c r="H117" s="536"/>
    </row>
    <row r="118" spans="1:8" s="544" customFormat="1" ht="15.75" customHeight="1">
      <c r="A118" s="540"/>
      <c r="B118" s="540"/>
      <c r="C118" s="536"/>
      <c r="D118" s="536"/>
      <c r="E118" s="536"/>
      <c r="F118" s="536"/>
      <c r="G118" s="536"/>
      <c r="H118" s="536"/>
    </row>
    <row r="119" spans="1:8" s="544" customFormat="1" ht="15.75" customHeight="1">
      <c r="A119" s="529"/>
      <c r="B119" s="529"/>
      <c r="C119" s="536"/>
      <c r="D119" s="536"/>
      <c r="E119" s="536"/>
      <c r="F119" s="536"/>
      <c r="G119" s="536"/>
      <c r="H119" s="536"/>
    </row>
    <row r="120" spans="1:8" s="544" customFormat="1" ht="15.75" customHeight="1">
      <c r="A120" s="529"/>
      <c r="B120" s="529"/>
      <c r="C120" s="536"/>
      <c r="D120" s="536"/>
      <c r="E120" s="536"/>
      <c r="F120" s="536"/>
      <c r="G120" s="536"/>
      <c r="H120" s="536"/>
    </row>
    <row r="121" spans="1:8" s="544" customFormat="1" ht="15.75" customHeight="1">
      <c r="A121" s="529"/>
      <c r="B121" s="529"/>
      <c r="C121" s="536"/>
      <c r="D121" s="536"/>
      <c r="E121" s="536"/>
      <c r="F121" s="536"/>
      <c r="G121" s="536"/>
      <c r="H121" s="536"/>
    </row>
    <row r="122" spans="1:8" ht="15.75" customHeight="1">
      <c r="A122" s="545"/>
      <c r="B122" s="545"/>
      <c r="C122" s="536"/>
      <c r="D122" s="532"/>
      <c r="E122" s="532"/>
      <c r="F122" s="532"/>
      <c r="G122" s="532"/>
      <c r="H122" s="532"/>
    </row>
    <row r="123" spans="1:8" ht="15.75" customHeight="1">
      <c r="A123" s="545"/>
      <c r="B123" s="545"/>
      <c r="C123" s="532"/>
      <c r="D123" s="532"/>
      <c r="E123" s="532"/>
      <c r="F123" s="532"/>
      <c r="G123" s="532"/>
      <c r="H123" s="532"/>
    </row>
    <row r="124" spans="1:8" ht="15.75" customHeight="1">
      <c r="A124" s="545"/>
      <c r="B124" s="545"/>
      <c r="C124" s="532"/>
      <c r="D124" s="532"/>
      <c r="E124" s="532"/>
      <c r="F124" s="532"/>
      <c r="G124" s="532"/>
      <c r="H124" s="532"/>
    </row>
    <row r="125" spans="1:8" ht="15.75" customHeight="1">
      <c r="A125" s="545"/>
      <c r="B125" s="545"/>
      <c r="C125" s="532"/>
      <c r="D125" s="532"/>
      <c r="E125" s="532"/>
      <c r="F125" s="532"/>
      <c r="G125" s="532"/>
      <c r="H125" s="532"/>
    </row>
    <row r="126" spans="1:8" ht="15.75" customHeight="1">
      <c r="A126" s="545"/>
      <c r="B126" s="545"/>
      <c r="C126" s="532"/>
      <c r="D126" s="532"/>
      <c r="E126" s="532"/>
      <c r="F126" s="532"/>
      <c r="G126" s="532"/>
      <c r="H126" s="532"/>
    </row>
    <row r="127" spans="1:8" ht="15.75" customHeight="1">
      <c r="A127" s="545"/>
      <c r="B127" s="545"/>
      <c r="C127" s="532"/>
      <c r="D127" s="532"/>
      <c r="E127" s="532"/>
      <c r="F127" s="532"/>
      <c r="G127" s="532"/>
      <c r="H127" s="532"/>
    </row>
    <row r="128" spans="1:8" ht="15.75" customHeight="1">
      <c r="A128" s="545"/>
      <c r="B128" s="545"/>
      <c r="C128" s="532"/>
      <c r="D128" s="532"/>
      <c r="E128" s="532"/>
      <c r="F128" s="532"/>
      <c r="G128" s="532"/>
      <c r="H128" s="532"/>
    </row>
    <row r="129" spans="1:8" ht="15.75" customHeight="1">
      <c r="A129" s="545"/>
      <c r="B129" s="545"/>
      <c r="C129" s="532"/>
      <c r="D129" s="532"/>
      <c r="E129" s="532"/>
      <c r="F129" s="532"/>
      <c r="G129" s="532"/>
      <c r="H129" s="532"/>
    </row>
    <row r="130" spans="1:8" ht="15.75" customHeight="1">
      <c r="C130" s="532"/>
      <c r="D130" s="532"/>
      <c r="E130" s="532"/>
      <c r="F130" s="532"/>
      <c r="G130" s="532"/>
      <c r="H130" s="532"/>
    </row>
    <row r="131" spans="1:8" ht="15.75" customHeight="1">
      <c r="C131" s="532"/>
      <c r="D131" s="532"/>
      <c r="E131" s="532"/>
      <c r="F131" s="532"/>
      <c r="G131" s="532"/>
      <c r="H131" s="532"/>
    </row>
    <row r="132" spans="1:8" ht="15.75" customHeight="1">
      <c r="C132" s="532"/>
      <c r="D132" s="532"/>
      <c r="E132" s="532"/>
      <c r="F132" s="532"/>
      <c r="G132" s="532"/>
      <c r="H132" s="532"/>
    </row>
    <row r="133" spans="1:8" ht="15.75" customHeight="1">
      <c r="C133" s="532"/>
      <c r="D133" s="532"/>
      <c r="E133" s="532"/>
      <c r="F133" s="532"/>
      <c r="G133" s="532"/>
      <c r="H133" s="532"/>
    </row>
    <row r="134" spans="1:8" ht="15.75" customHeight="1">
      <c r="C134" s="532"/>
      <c r="D134" s="532"/>
      <c r="E134" s="532"/>
      <c r="F134" s="532"/>
      <c r="G134" s="532"/>
      <c r="H134" s="532"/>
    </row>
    <row r="135" spans="1:8" ht="15.75" customHeight="1">
      <c r="C135" s="532"/>
      <c r="D135" s="532"/>
      <c r="E135" s="532"/>
      <c r="F135" s="532"/>
      <c r="G135" s="532"/>
      <c r="H135" s="532"/>
    </row>
    <row r="136" spans="1:8" ht="15.75" customHeight="1">
      <c r="C136" s="532"/>
      <c r="D136" s="532"/>
      <c r="E136" s="532"/>
      <c r="F136" s="532"/>
      <c r="G136" s="532"/>
      <c r="H136" s="532"/>
    </row>
    <row r="137" spans="1:8" ht="15.75" customHeight="1">
      <c r="C137" s="532"/>
      <c r="D137" s="532"/>
      <c r="E137" s="532"/>
      <c r="F137" s="532"/>
      <c r="G137" s="532"/>
      <c r="H137" s="532"/>
    </row>
    <row r="138" spans="1:8" ht="15.75" customHeight="1">
      <c r="C138" s="532"/>
      <c r="D138" s="532"/>
      <c r="E138" s="532"/>
      <c r="F138" s="532"/>
      <c r="G138" s="532"/>
      <c r="H138" s="532"/>
    </row>
    <row r="139" spans="1:8" ht="15.75" customHeight="1">
      <c r="C139" s="532"/>
      <c r="D139" s="532"/>
      <c r="E139" s="532"/>
      <c r="F139" s="532"/>
      <c r="G139" s="532"/>
      <c r="H139" s="532"/>
    </row>
    <row r="140" spans="1:8" ht="15.75" customHeight="1">
      <c r="C140" s="532"/>
      <c r="D140" s="532"/>
      <c r="E140" s="532"/>
      <c r="F140" s="532"/>
      <c r="G140" s="532"/>
      <c r="H140" s="532"/>
    </row>
    <row r="141" spans="1:8" ht="15.75" customHeight="1">
      <c r="C141" s="532"/>
      <c r="D141" s="532"/>
      <c r="E141" s="532"/>
      <c r="F141" s="532"/>
      <c r="G141" s="532"/>
      <c r="H141" s="532"/>
    </row>
    <row r="142" spans="1:8" ht="15.75" customHeight="1">
      <c r="C142" s="532"/>
      <c r="D142" s="532"/>
      <c r="E142" s="532"/>
      <c r="F142" s="532"/>
      <c r="G142" s="532"/>
      <c r="H142" s="532"/>
    </row>
    <row r="143" spans="1:8" ht="15.75" customHeight="1">
      <c r="C143" s="532"/>
      <c r="D143" s="532"/>
      <c r="E143" s="532"/>
      <c r="F143" s="532"/>
      <c r="G143" s="532"/>
      <c r="H143" s="532"/>
    </row>
    <row r="144" spans="1:8" ht="15.75" customHeight="1">
      <c r="C144" s="532"/>
      <c r="D144" s="532"/>
      <c r="E144" s="532"/>
      <c r="F144" s="532"/>
      <c r="G144" s="532"/>
      <c r="H144" s="532"/>
    </row>
    <row r="145" spans="3:8" ht="15.75" customHeight="1">
      <c r="C145" s="532"/>
      <c r="D145" s="532"/>
      <c r="E145" s="532"/>
      <c r="F145" s="532"/>
      <c r="G145" s="532"/>
      <c r="H145" s="532"/>
    </row>
    <row r="146" spans="3:8" ht="15.75" customHeight="1">
      <c r="C146" s="532"/>
      <c r="D146" s="532"/>
      <c r="E146" s="532"/>
      <c r="F146" s="532"/>
      <c r="G146" s="532"/>
      <c r="H146" s="532"/>
    </row>
    <row r="147" spans="3:8" ht="15.75" customHeight="1">
      <c r="C147" s="532"/>
      <c r="D147" s="532"/>
      <c r="E147" s="532"/>
      <c r="F147" s="532"/>
      <c r="G147" s="532"/>
      <c r="H147" s="532"/>
    </row>
    <row r="148" spans="3:8" ht="15.75" customHeight="1">
      <c r="C148" s="532"/>
      <c r="D148" s="532"/>
      <c r="E148" s="532"/>
      <c r="F148" s="532"/>
      <c r="G148" s="532"/>
      <c r="H148" s="532"/>
    </row>
    <row r="149" spans="3:8" ht="15.75" customHeight="1">
      <c r="C149" s="532"/>
      <c r="D149" s="532"/>
      <c r="E149" s="532"/>
      <c r="F149" s="532"/>
      <c r="G149" s="532"/>
      <c r="H149" s="532"/>
    </row>
    <row r="150" spans="3:8" ht="15.75" customHeight="1">
      <c r="C150" s="532"/>
      <c r="D150" s="532"/>
      <c r="E150" s="532"/>
      <c r="F150" s="532"/>
      <c r="G150" s="532"/>
      <c r="H150" s="532"/>
    </row>
    <row r="151" spans="3:8" ht="15.75" customHeight="1">
      <c r="C151" s="532"/>
      <c r="D151" s="532"/>
      <c r="E151" s="532"/>
      <c r="F151" s="532"/>
      <c r="G151" s="532"/>
      <c r="H151" s="532"/>
    </row>
    <row r="152" spans="3:8" ht="15.75" customHeight="1">
      <c r="C152" s="532"/>
      <c r="D152" s="532"/>
      <c r="E152" s="532"/>
      <c r="F152" s="532"/>
      <c r="G152" s="532"/>
      <c r="H152" s="532"/>
    </row>
    <row r="153" spans="3:8" ht="15.75" customHeight="1">
      <c r="C153" s="532"/>
      <c r="D153" s="532"/>
      <c r="E153" s="532"/>
      <c r="F153" s="532"/>
      <c r="G153" s="532"/>
      <c r="H153" s="532"/>
    </row>
    <row r="154" spans="3:8" ht="15.75" customHeight="1">
      <c r="C154" s="532"/>
      <c r="D154" s="532"/>
      <c r="E154" s="532"/>
      <c r="F154" s="532"/>
      <c r="G154" s="532"/>
      <c r="H154" s="532"/>
    </row>
    <row r="155" spans="3:8" ht="15.75" customHeight="1">
      <c r="C155" s="532"/>
      <c r="D155" s="532"/>
      <c r="E155" s="532"/>
      <c r="F155" s="532"/>
      <c r="G155" s="532"/>
      <c r="H155" s="532"/>
    </row>
    <row r="156" spans="3:8" ht="15.75" customHeight="1">
      <c r="C156" s="532"/>
      <c r="D156" s="532"/>
      <c r="E156" s="532"/>
      <c r="F156" s="532"/>
      <c r="G156" s="532"/>
      <c r="H156" s="532"/>
    </row>
    <row r="157" spans="3:8" ht="15.75" customHeight="1">
      <c r="C157" s="532"/>
      <c r="D157" s="532"/>
      <c r="E157" s="532"/>
      <c r="F157" s="532"/>
      <c r="G157" s="532"/>
      <c r="H157" s="532"/>
    </row>
    <row r="158" spans="3:8" ht="15.75" customHeight="1">
      <c r="C158" s="532"/>
      <c r="D158" s="532"/>
      <c r="E158" s="532"/>
      <c r="F158" s="532"/>
      <c r="G158" s="532"/>
      <c r="H158" s="532"/>
    </row>
    <row r="159" spans="3:8" ht="15.75" customHeight="1">
      <c r="C159" s="532"/>
      <c r="D159" s="532"/>
      <c r="E159" s="532"/>
      <c r="F159" s="532"/>
      <c r="G159" s="532"/>
      <c r="H159" s="532"/>
    </row>
  </sheetData>
  <mergeCells count="5">
    <mergeCell ref="E2:E3"/>
    <mergeCell ref="F2:F3"/>
    <mergeCell ref="G2:G3"/>
    <mergeCell ref="C68:C69"/>
    <mergeCell ref="G68:G69"/>
  </mergeCells>
  <phoneticPr fontId="3" type="noConversion"/>
  <pageMargins left="0.15748031496062992" right="0.19685039370078741" top="0.35433070866141736" bottom="0.31496062992125984" header="0.27559055118110237" footer="0.19685039370078741"/>
  <pageSetup paperSize="9" scale="7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V15"/>
  <sheetViews>
    <sheetView topLeftCell="J4" workbookViewId="0">
      <selection activeCell="P21" sqref="P21"/>
    </sheetView>
  </sheetViews>
  <sheetFormatPr defaultRowHeight="16.5"/>
  <cols>
    <col min="1" max="1" width="13.875" bestFit="1" customWidth="1"/>
    <col min="2" max="2" width="11.875" customWidth="1"/>
    <col min="3" max="3" width="8.5" customWidth="1"/>
    <col min="4" max="7" width="11.25" customWidth="1"/>
    <col min="8" max="8" width="9.625" customWidth="1"/>
    <col min="9" max="10" width="11.25" customWidth="1"/>
    <col min="11" max="11" width="13.25" customWidth="1"/>
    <col min="12" max="12" width="11.25" customWidth="1"/>
    <col min="13" max="13" width="7.375" customWidth="1"/>
    <col min="14" max="14" width="11.25" customWidth="1"/>
    <col min="15" max="15" width="15.5" bestFit="1" customWidth="1"/>
    <col min="16" max="16" width="10.5" bestFit="1" customWidth="1"/>
    <col min="17" max="17" width="7.375" customWidth="1"/>
    <col min="18" max="18" width="13.625" bestFit="1" customWidth="1"/>
    <col min="19" max="19" width="9.625" customWidth="1"/>
    <col min="20" max="20" width="13.625" bestFit="1" customWidth="1"/>
    <col min="21" max="21" width="9.625" customWidth="1"/>
    <col min="22" max="22" width="12" customWidth="1"/>
  </cols>
  <sheetData>
    <row r="1" spans="1:22">
      <c r="A1" s="986" t="s">
        <v>4854</v>
      </c>
      <c r="B1" s="986" t="s">
        <v>4837</v>
      </c>
    </row>
    <row r="2" spans="1:22">
      <c r="A2" s="986" t="s">
        <v>4850</v>
      </c>
      <c r="B2" t="s">
        <v>3117</v>
      </c>
      <c r="C2" t="s">
        <v>4851</v>
      </c>
      <c r="D2" t="s">
        <v>3113</v>
      </c>
      <c r="E2" t="s">
        <v>3127</v>
      </c>
      <c r="F2" t="s">
        <v>3115</v>
      </c>
      <c r="G2" t="s">
        <v>3124</v>
      </c>
      <c r="H2" t="s">
        <v>3119</v>
      </c>
      <c r="I2" t="s">
        <v>3116</v>
      </c>
      <c r="J2" t="s">
        <v>3125</v>
      </c>
      <c r="K2" t="s">
        <v>4852</v>
      </c>
      <c r="L2" t="s">
        <v>3120</v>
      </c>
      <c r="M2" t="s">
        <v>3126</v>
      </c>
      <c r="N2" t="s">
        <v>3123</v>
      </c>
      <c r="O2" t="s">
        <v>3128</v>
      </c>
      <c r="P2" t="s">
        <v>4853</v>
      </c>
      <c r="Q2" t="s">
        <v>3129</v>
      </c>
      <c r="R2" t="s">
        <v>3114</v>
      </c>
      <c r="S2" t="s">
        <v>3121</v>
      </c>
      <c r="T2" t="s">
        <v>2729</v>
      </c>
      <c r="U2" t="s">
        <v>3112</v>
      </c>
      <c r="V2" t="s">
        <v>4849</v>
      </c>
    </row>
    <row r="3" spans="1:22">
      <c r="A3" s="987" t="s">
        <v>4838</v>
      </c>
      <c r="B3" s="821"/>
      <c r="C3" s="821">
        <v>30000</v>
      </c>
      <c r="D3" s="821">
        <v>641310</v>
      </c>
      <c r="E3" s="821"/>
      <c r="F3" s="821"/>
      <c r="G3" s="821">
        <v>30000</v>
      </c>
      <c r="H3" s="821">
        <v>600000</v>
      </c>
      <c r="I3" s="821">
        <v>2121200</v>
      </c>
      <c r="J3" s="821">
        <v>311700</v>
      </c>
      <c r="K3" s="821">
        <v>18000</v>
      </c>
      <c r="L3" s="821">
        <v>1245290</v>
      </c>
      <c r="M3" s="821"/>
      <c r="N3" s="821">
        <v>520709</v>
      </c>
      <c r="O3" s="821">
        <v>1346700</v>
      </c>
      <c r="P3" s="821">
        <v>74930</v>
      </c>
      <c r="Q3" s="821">
        <v>19630</v>
      </c>
      <c r="R3" s="821">
        <v>850000</v>
      </c>
      <c r="S3" s="821">
        <v>386460</v>
      </c>
      <c r="T3" s="821"/>
      <c r="U3" s="821"/>
      <c r="V3" s="821">
        <v>8195929</v>
      </c>
    </row>
    <row r="4" spans="1:22">
      <c r="A4" s="987" t="s">
        <v>4839</v>
      </c>
      <c r="B4" s="821">
        <v>32070</v>
      </c>
      <c r="C4" s="821">
        <v>117500</v>
      </c>
      <c r="D4" s="821">
        <v>757800</v>
      </c>
      <c r="E4" s="821"/>
      <c r="F4" s="821"/>
      <c r="G4" s="821">
        <v>65200</v>
      </c>
      <c r="H4" s="821">
        <v>600000</v>
      </c>
      <c r="I4" s="821">
        <v>1713400</v>
      </c>
      <c r="J4" s="821">
        <v>2337520</v>
      </c>
      <c r="K4" s="821"/>
      <c r="L4" s="821">
        <v>1178150</v>
      </c>
      <c r="M4" s="821">
        <v>50000</v>
      </c>
      <c r="N4" s="821">
        <v>979519</v>
      </c>
      <c r="O4" s="821">
        <v>1357000</v>
      </c>
      <c r="P4" s="821">
        <v>125960</v>
      </c>
      <c r="Q4" s="821"/>
      <c r="R4" s="821">
        <v>850000</v>
      </c>
      <c r="S4" s="821">
        <v>45610</v>
      </c>
      <c r="T4" s="821"/>
      <c r="U4" s="821">
        <v>382130</v>
      </c>
      <c r="V4" s="821">
        <v>10591859</v>
      </c>
    </row>
    <row r="5" spans="1:22">
      <c r="A5" s="987" t="s">
        <v>3570</v>
      </c>
      <c r="B5" s="821">
        <v>-201365</v>
      </c>
      <c r="C5" s="821">
        <v>37900</v>
      </c>
      <c r="D5" s="821">
        <v>732100</v>
      </c>
      <c r="E5" s="821"/>
      <c r="F5" s="821"/>
      <c r="G5" s="821">
        <v>35500</v>
      </c>
      <c r="H5" s="821">
        <v>726220</v>
      </c>
      <c r="I5" s="821">
        <v>12584</v>
      </c>
      <c r="J5" s="821">
        <v>737000</v>
      </c>
      <c r="K5" s="821">
        <v>280250</v>
      </c>
      <c r="L5" s="821">
        <v>1136800</v>
      </c>
      <c r="M5" s="821"/>
      <c r="N5" s="821">
        <v>749979</v>
      </c>
      <c r="O5" s="821">
        <v>1079000</v>
      </c>
      <c r="P5" s="821">
        <v>73340</v>
      </c>
      <c r="Q5" s="821"/>
      <c r="R5" s="821">
        <v>850000</v>
      </c>
      <c r="S5" s="821">
        <v>14150</v>
      </c>
      <c r="T5" s="821"/>
      <c r="U5" s="821"/>
      <c r="V5" s="821">
        <v>6263458</v>
      </c>
    </row>
    <row r="6" spans="1:22">
      <c r="A6" s="987" t="s">
        <v>4840</v>
      </c>
      <c r="B6" s="821">
        <v>30000</v>
      </c>
      <c r="C6" s="821">
        <v>126300</v>
      </c>
      <c r="D6" s="821">
        <v>-3365200</v>
      </c>
      <c r="E6" s="821"/>
      <c r="F6" s="821"/>
      <c r="G6" s="821">
        <v>184300</v>
      </c>
      <c r="H6" s="821">
        <v>600000</v>
      </c>
      <c r="I6" s="821">
        <v>373136</v>
      </c>
      <c r="J6" s="821"/>
      <c r="K6" s="821">
        <v>145972</v>
      </c>
      <c r="L6" s="821">
        <v>727660</v>
      </c>
      <c r="M6" s="821"/>
      <c r="N6" s="821">
        <v>9646589</v>
      </c>
      <c r="O6" s="821">
        <v>809000</v>
      </c>
      <c r="P6" s="821">
        <v>4340</v>
      </c>
      <c r="Q6" s="821"/>
      <c r="R6" s="821">
        <v>850000</v>
      </c>
      <c r="S6" s="821">
        <v>0</v>
      </c>
      <c r="T6" s="821"/>
      <c r="U6" s="821"/>
      <c r="V6" s="821">
        <v>10132097</v>
      </c>
    </row>
    <row r="7" spans="1:22">
      <c r="A7" s="987" t="s">
        <v>4841</v>
      </c>
      <c r="B7" s="821">
        <v>210000</v>
      </c>
      <c r="C7" s="821">
        <v>122400</v>
      </c>
      <c r="D7" s="821">
        <v>893921</v>
      </c>
      <c r="E7" s="821"/>
      <c r="F7" s="821">
        <v>2214334</v>
      </c>
      <c r="G7" s="821">
        <v>30000</v>
      </c>
      <c r="H7" s="821">
        <v>600000</v>
      </c>
      <c r="I7" s="821">
        <v>1120000</v>
      </c>
      <c r="J7" s="821"/>
      <c r="K7" s="821"/>
      <c r="L7" s="821">
        <v>728910</v>
      </c>
      <c r="M7" s="821"/>
      <c r="N7" s="821">
        <v>3775236</v>
      </c>
      <c r="O7" s="821">
        <v>2564080</v>
      </c>
      <c r="P7" s="821">
        <v>85930</v>
      </c>
      <c r="Q7" s="821"/>
      <c r="R7" s="821">
        <v>850000</v>
      </c>
      <c r="S7" s="821">
        <v>0</v>
      </c>
      <c r="T7" s="821"/>
      <c r="U7" s="821"/>
      <c r="V7" s="821">
        <v>13194811</v>
      </c>
    </row>
    <row r="8" spans="1:22">
      <c r="A8" s="987" t="s">
        <v>4842</v>
      </c>
      <c r="B8" s="821">
        <v>1367200</v>
      </c>
      <c r="C8" s="821">
        <v>11900</v>
      </c>
      <c r="D8" s="821">
        <v>502100</v>
      </c>
      <c r="E8" s="821"/>
      <c r="F8" s="821"/>
      <c r="G8" s="821">
        <v>44000</v>
      </c>
      <c r="H8" s="821">
        <v>600000</v>
      </c>
      <c r="I8" s="821">
        <v>-3708700</v>
      </c>
      <c r="J8" s="821">
        <v>5000</v>
      </c>
      <c r="K8" s="821"/>
      <c r="L8" s="821">
        <v>472660</v>
      </c>
      <c r="M8" s="821"/>
      <c r="N8" s="821">
        <v>755623</v>
      </c>
      <c r="O8" s="821">
        <v>4807000</v>
      </c>
      <c r="P8" s="821">
        <v>7850</v>
      </c>
      <c r="Q8" s="821"/>
      <c r="R8" s="821">
        <v>850000</v>
      </c>
      <c r="S8" s="821">
        <v>0</v>
      </c>
      <c r="T8" s="821"/>
      <c r="U8" s="821">
        <v>373650</v>
      </c>
      <c r="V8" s="821">
        <v>6088283</v>
      </c>
    </row>
    <row r="9" spans="1:22">
      <c r="A9" s="987" t="s">
        <v>4843</v>
      </c>
      <c r="B9" s="821"/>
      <c r="C9" s="821">
        <v>59900</v>
      </c>
      <c r="D9" s="821">
        <v>693550</v>
      </c>
      <c r="E9" s="821">
        <v>7400</v>
      </c>
      <c r="F9" s="821"/>
      <c r="G9" s="821">
        <v>74800</v>
      </c>
      <c r="H9" s="821">
        <v>600000</v>
      </c>
      <c r="I9" s="821">
        <v>1207300</v>
      </c>
      <c r="J9" s="821"/>
      <c r="K9" s="821">
        <v>2888868</v>
      </c>
      <c r="L9" s="821">
        <v>652910</v>
      </c>
      <c r="M9" s="821"/>
      <c r="N9" s="821">
        <v>1102392</v>
      </c>
      <c r="O9" s="821">
        <v>3356800</v>
      </c>
      <c r="P9" s="821">
        <v>25930</v>
      </c>
      <c r="Q9" s="821"/>
      <c r="R9" s="821">
        <v>750000</v>
      </c>
      <c r="S9" s="821">
        <v>0</v>
      </c>
      <c r="T9" s="821"/>
      <c r="U9" s="821"/>
      <c r="V9" s="821">
        <v>11419850</v>
      </c>
    </row>
    <row r="10" spans="1:22">
      <c r="A10" s="987" t="s">
        <v>4844</v>
      </c>
      <c r="B10" s="821"/>
      <c r="C10" s="821"/>
      <c r="D10" s="821">
        <v>290900</v>
      </c>
      <c r="E10" s="821"/>
      <c r="F10" s="821"/>
      <c r="G10" s="821">
        <v>30000</v>
      </c>
      <c r="H10" s="821">
        <v>600000</v>
      </c>
      <c r="I10" s="821">
        <v>1190000</v>
      </c>
      <c r="J10" s="821"/>
      <c r="K10" s="821">
        <v>62500</v>
      </c>
      <c r="L10" s="821">
        <v>545160</v>
      </c>
      <c r="M10" s="821"/>
      <c r="N10" s="821">
        <v>513862</v>
      </c>
      <c r="O10" s="821">
        <v>1972000</v>
      </c>
      <c r="P10" s="821">
        <v>1840</v>
      </c>
      <c r="Q10" s="821"/>
      <c r="R10" s="821">
        <v>850000</v>
      </c>
      <c r="S10" s="821">
        <v>181540</v>
      </c>
      <c r="T10" s="821"/>
      <c r="U10" s="821"/>
      <c r="V10" s="821">
        <v>6237802</v>
      </c>
    </row>
    <row r="11" spans="1:22">
      <c r="A11" s="987" t="s">
        <v>4845</v>
      </c>
      <c r="B11" s="821">
        <v>135000</v>
      </c>
      <c r="C11" s="821"/>
      <c r="D11" s="821">
        <v>535400</v>
      </c>
      <c r="E11" s="821"/>
      <c r="F11" s="821">
        <v>1980000</v>
      </c>
      <c r="G11" s="821">
        <v>79500</v>
      </c>
      <c r="H11" s="821">
        <v>600000</v>
      </c>
      <c r="I11" s="821">
        <v>2755620</v>
      </c>
      <c r="J11" s="821"/>
      <c r="K11" s="821">
        <v>6239350</v>
      </c>
      <c r="L11" s="821">
        <v>659360</v>
      </c>
      <c r="M11" s="821"/>
      <c r="N11" s="821">
        <v>493065</v>
      </c>
      <c r="O11" s="821">
        <v>1780000</v>
      </c>
      <c r="P11" s="821">
        <v>25770</v>
      </c>
      <c r="Q11" s="821"/>
      <c r="R11" s="821">
        <v>850000</v>
      </c>
      <c r="S11" s="821">
        <v>623280</v>
      </c>
      <c r="T11" s="821"/>
      <c r="U11" s="821">
        <v>75260</v>
      </c>
      <c r="V11" s="821">
        <v>16831605</v>
      </c>
    </row>
    <row r="12" spans="1:22">
      <c r="A12" s="987" t="s">
        <v>4846</v>
      </c>
      <c r="B12" s="821">
        <v>3800</v>
      </c>
      <c r="C12" s="821">
        <v>2400</v>
      </c>
      <c r="D12" s="821">
        <v>166500</v>
      </c>
      <c r="E12" s="821"/>
      <c r="F12" s="821">
        <v>170121</v>
      </c>
      <c r="G12" s="821">
        <v>8800</v>
      </c>
      <c r="H12" s="821">
        <v>600000</v>
      </c>
      <c r="I12" s="821">
        <v>1227000</v>
      </c>
      <c r="J12" s="821"/>
      <c r="K12" s="821">
        <v>1028816</v>
      </c>
      <c r="L12" s="821">
        <v>370190</v>
      </c>
      <c r="M12" s="821"/>
      <c r="N12" s="821">
        <v>518245</v>
      </c>
      <c r="O12" s="821">
        <v>1835000</v>
      </c>
      <c r="P12" s="821">
        <v>96260</v>
      </c>
      <c r="Q12" s="821"/>
      <c r="R12" s="821">
        <v>850000</v>
      </c>
      <c r="S12" s="821">
        <v>-7140</v>
      </c>
      <c r="T12" s="821"/>
      <c r="U12" s="821"/>
      <c r="V12" s="821">
        <v>6869992</v>
      </c>
    </row>
    <row r="13" spans="1:22">
      <c r="A13" s="987" t="s">
        <v>4847</v>
      </c>
      <c r="B13" s="821">
        <v>410000</v>
      </c>
      <c r="C13" s="821"/>
      <c r="D13" s="821">
        <v>773530</v>
      </c>
      <c r="E13" s="821"/>
      <c r="F13" s="821"/>
      <c r="G13" s="821">
        <v>60000</v>
      </c>
      <c r="H13" s="821">
        <v>600000</v>
      </c>
      <c r="I13" s="821">
        <v>-1405650</v>
      </c>
      <c r="J13" s="821">
        <v>9000</v>
      </c>
      <c r="K13" s="821"/>
      <c r="L13" s="821">
        <v>584180</v>
      </c>
      <c r="M13" s="821"/>
      <c r="N13" s="821">
        <v>556955</v>
      </c>
      <c r="O13" s="821">
        <v>2337800</v>
      </c>
      <c r="P13" s="821">
        <v>20400</v>
      </c>
      <c r="Q13" s="821"/>
      <c r="R13" s="821">
        <v>850000</v>
      </c>
      <c r="S13" s="821">
        <v>259710</v>
      </c>
      <c r="T13" s="821"/>
      <c r="U13" s="821">
        <v>808670</v>
      </c>
      <c r="V13" s="821">
        <v>5864595</v>
      </c>
    </row>
    <row r="14" spans="1:22">
      <c r="A14" s="987" t="s">
        <v>4848</v>
      </c>
      <c r="B14" s="821">
        <v>-41460</v>
      </c>
      <c r="C14" s="821"/>
      <c r="D14" s="821">
        <v>-1615000</v>
      </c>
      <c r="E14" s="821"/>
      <c r="F14" s="821"/>
      <c r="G14" s="821">
        <v>30000</v>
      </c>
      <c r="H14" s="821">
        <v>-5496348</v>
      </c>
      <c r="I14" s="821">
        <v>-2114369</v>
      </c>
      <c r="J14" s="821">
        <v>6432</v>
      </c>
      <c r="K14" s="821">
        <v>147116</v>
      </c>
      <c r="L14" s="821">
        <v>905750</v>
      </c>
      <c r="M14" s="821"/>
      <c r="N14" s="821">
        <v>733890</v>
      </c>
      <c r="O14" s="821">
        <v>-2347000</v>
      </c>
      <c r="P14" s="821">
        <v>48310</v>
      </c>
      <c r="Q14" s="821"/>
      <c r="R14" s="821">
        <v>850000</v>
      </c>
      <c r="S14" s="821">
        <v>566190</v>
      </c>
      <c r="T14" s="821">
        <v>56497350</v>
      </c>
      <c r="U14" s="821">
        <v>-700</v>
      </c>
      <c r="V14" s="821">
        <v>48170161</v>
      </c>
    </row>
    <row r="15" spans="1:22">
      <c r="A15" s="987" t="s">
        <v>4849</v>
      </c>
      <c r="B15" s="821">
        <v>1945245</v>
      </c>
      <c r="C15" s="821">
        <v>508300</v>
      </c>
      <c r="D15" s="821">
        <v>1006911</v>
      </c>
      <c r="E15" s="821">
        <v>7400</v>
      </c>
      <c r="F15" s="821">
        <v>4364455</v>
      </c>
      <c r="G15" s="821">
        <v>672100</v>
      </c>
      <c r="H15" s="821">
        <v>1229872</v>
      </c>
      <c r="I15" s="821">
        <v>4491521</v>
      </c>
      <c r="J15" s="821">
        <v>3406652</v>
      </c>
      <c r="K15" s="821">
        <v>10810872</v>
      </c>
      <c r="L15" s="821">
        <v>9207020</v>
      </c>
      <c r="M15" s="821">
        <v>50000</v>
      </c>
      <c r="N15" s="821">
        <v>20346064</v>
      </c>
      <c r="O15" s="821">
        <v>20897380</v>
      </c>
      <c r="P15" s="821">
        <v>590860</v>
      </c>
      <c r="Q15" s="821">
        <v>19630</v>
      </c>
      <c r="R15" s="821">
        <v>10100000</v>
      </c>
      <c r="S15" s="821">
        <v>2069800</v>
      </c>
      <c r="T15" s="821">
        <v>56497350</v>
      </c>
      <c r="U15" s="821">
        <v>1639010</v>
      </c>
      <c r="V15" s="821">
        <v>149860442</v>
      </c>
    </row>
  </sheetData>
  <phoneticPr fontId="3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J1120"/>
  <sheetViews>
    <sheetView workbookViewId="0">
      <selection activeCell="F11" sqref="F11"/>
    </sheetView>
  </sheetViews>
  <sheetFormatPr defaultRowHeight="16.5"/>
  <cols>
    <col min="1" max="1" width="15.125" bestFit="1" customWidth="1"/>
    <col min="4" max="4" width="43.875" customWidth="1"/>
    <col min="5" max="5" width="4.75" bestFit="1" customWidth="1"/>
    <col min="6" max="6" width="28.875" bestFit="1" customWidth="1"/>
    <col min="7" max="7" width="13.125" bestFit="1" customWidth="1"/>
    <col min="8" max="9" width="9.375" bestFit="1" customWidth="1"/>
    <col min="10" max="10" width="8.25" bestFit="1" customWidth="1"/>
  </cols>
  <sheetData>
    <row r="1" spans="1:10">
      <c r="A1" s="914" t="s">
        <v>3631</v>
      </c>
      <c r="B1" s="914" t="s">
        <v>3589</v>
      </c>
      <c r="C1" s="914" t="s">
        <v>2887</v>
      </c>
      <c r="D1" s="914" t="s">
        <v>3590</v>
      </c>
      <c r="E1" s="914" t="s">
        <v>3591</v>
      </c>
      <c r="F1" s="914" t="s">
        <v>3592</v>
      </c>
      <c r="G1" s="914" t="s">
        <v>3593</v>
      </c>
      <c r="H1" s="914" t="s">
        <v>3594</v>
      </c>
      <c r="I1" s="914" t="s">
        <v>3030</v>
      </c>
      <c r="J1" s="914" t="s">
        <v>3595</v>
      </c>
    </row>
    <row r="2" spans="1:10">
      <c r="A2" t="s">
        <v>3870</v>
      </c>
      <c r="B2" s="915" t="s">
        <v>3596</v>
      </c>
      <c r="C2" s="915" t="str">
        <f>MONTH(B2)&amp;"월"</f>
        <v>2월</v>
      </c>
      <c r="D2" s="916" t="s">
        <v>3597</v>
      </c>
      <c r="E2" s="916"/>
      <c r="F2" s="916" t="s">
        <v>3598</v>
      </c>
      <c r="G2" s="915"/>
      <c r="H2" s="917">
        <v>35000</v>
      </c>
      <c r="I2" s="918"/>
      <c r="J2" s="918"/>
    </row>
    <row r="3" spans="1:10">
      <c r="A3" t="s">
        <v>3870</v>
      </c>
      <c r="B3" s="915" t="s">
        <v>3596</v>
      </c>
      <c r="C3" s="915" t="str">
        <f t="shared" ref="C3:C66" si="0">MONTH(B3)&amp;"월"</f>
        <v>2월</v>
      </c>
      <c r="D3" s="916" t="s">
        <v>3597</v>
      </c>
      <c r="E3" s="916"/>
      <c r="F3" s="916" t="s">
        <v>3599</v>
      </c>
      <c r="G3" s="915"/>
      <c r="H3" s="917">
        <v>12200</v>
      </c>
      <c r="I3" s="918"/>
      <c r="J3" s="918"/>
    </row>
    <row r="4" spans="1:10">
      <c r="A4" t="s">
        <v>3870</v>
      </c>
      <c r="B4" s="915" t="s">
        <v>3596</v>
      </c>
      <c r="C4" s="915" t="str">
        <f t="shared" si="0"/>
        <v>2월</v>
      </c>
      <c r="D4" s="916" t="s">
        <v>3597</v>
      </c>
      <c r="E4" s="916"/>
      <c r="F4" s="916" t="s">
        <v>3600</v>
      </c>
      <c r="G4" s="915"/>
      <c r="H4" s="917">
        <v>27230</v>
      </c>
      <c r="I4" s="918"/>
      <c r="J4" s="917">
        <v>74430</v>
      </c>
    </row>
    <row r="5" spans="1:10">
      <c r="A5" t="s">
        <v>3870</v>
      </c>
      <c r="B5" s="915" t="s">
        <v>3601</v>
      </c>
      <c r="C5" s="915" t="str">
        <f t="shared" si="0"/>
        <v>2월</v>
      </c>
      <c r="D5" s="916" t="s">
        <v>3602</v>
      </c>
      <c r="E5" s="916"/>
      <c r="F5" s="916" t="s">
        <v>3603</v>
      </c>
      <c r="G5" s="915"/>
      <c r="H5" s="917">
        <v>50200</v>
      </c>
      <c r="I5" s="918"/>
      <c r="J5" s="917">
        <v>124630</v>
      </c>
    </row>
    <row r="6" spans="1:10">
      <c r="A6" t="s">
        <v>3870</v>
      </c>
      <c r="B6" s="915" t="s">
        <v>3604</v>
      </c>
      <c r="C6" s="915" t="str">
        <f t="shared" si="0"/>
        <v>2월</v>
      </c>
      <c r="D6" s="916" t="s">
        <v>3605</v>
      </c>
      <c r="E6" s="916"/>
      <c r="F6" s="916" t="s">
        <v>3606</v>
      </c>
      <c r="G6" s="915"/>
      <c r="H6" s="917">
        <v>247500</v>
      </c>
      <c r="I6" s="918"/>
      <c r="J6" s="918"/>
    </row>
    <row r="7" spans="1:10">
      <c r="A7" t="s">
        <v>3870</v>
      </c>
      <c r="B7" s="915" t="s">
        <v>3604</v>
      </c>
      <c r="C7" s="915" t="str">
        <f t="shared" si="0"/>
        <v>2월</v>
      </c>
      <c r="D7" s="916" t="s">
        <v>3607</v>
      </c>
      <c r="E7" s="916"/>
      <c r="F7" s="916" t="s">
        <v>3600</v>
      </c>
      <c r="G7" s="915"/>
      <c r="H7" s="917">
        <v>10000</v>
      </c>
      <c r="I7" s="918"/>
      <c r="J7" s="917">
        <v>382130</v>
      </c>
    </row>
    <row r="8" spans="1:10">
      <c r="A8" t="s">
        <v>3870</v>
      </c>
      <c r="B8" s="915" t="s">
        <v>3608</v>
      </c>
      <c r="C8" s="915" t="str">
        <f t="shared" si="0"/>
        <v>6월</v>
      </c>
      <c r="D8" s="916" t="s">
        <v>3609</v>
      </c>
      <c r="E8" s="916"/>
      <c r="F8" s="916" t="s">
        <v>3610</v>
      </c>
      <c r="G8" s="915"/>
      <c r="H8" s="917">
        <v>51800</v>
      </c>
      <c r="I8" s="918"/>
      <c r="J8" s="918"/>
    </row>
    <row r="9" spans="1:10">
      <c r="A9" t="s">
        <v>3870</v>
      </c>
      <c r="B9" s="915" t="s">
        <v>3608</v>
      </c>
      <c r="C9" s="915" t="str">
        <f t="shared" si="0"/>
        <v>6월</v>
      </c>
      <c r="D9" s="916" t="s">
        <v>3609</v>
      </c>
      <c r="E9" s="916"/>
      <c r="F9" s="916" t="s">
        <v>3611</v>
      </c>
      <c r="G9" s="915"/>
      <c r="H9" s="917">
        <v>11900</v>
      </c>
      <c r="I9" s="918"/>
      <c r="J9" s="918"/>
    </row>
    <row r="10" spans="1:10">
      <c r="A10" t="s">
        <v>3870</v>
      </c>
      <c r="B10" s="915" t="s">
        <v>3608</v>
      </c>
      <c r="C10" s="915" t="str">
        <f t="shared" si="0"/>
        <v>6월</v>
      </c>
      <c r="D10" s="916" t="s">
        <v>3609</v>
      </c>
      <c r="E10" s="916"/>
      <c r="F10" s="916" t="s">
        <v>3612</v>
      </c>
      <c r="G10" s="915"/>
      <c r="H10" s="917">
        <v>10000</v>
      </c>
      <c r="I10" s="918"/>
      <c r="J10" s="917">
        <v>455830</v>
      </c>
    </row>
    <row r="11" spans="1:10">
      <c r="A11" t="s">
        <v>3870</v>
      </c>
      <c r="B11" s="915" t="s">
        <v>3613</v>
      </c>
      <c r="C11" s="915" t="str">
        <f t="shared" si="0"/>
        <v>6월</v>
      </c>
      <c r="D11" s="916" t="s">
        <v>3614</v>
      </c>
      <c r="E11" s="916"/>
      <c r="F11" s="916" t="s">
        <v>3600</v>
      </c>
      <c r="G11" s="915"/>
      <c r="H11" s="917">
        <v>20000</v>
      </c>
      <c r="I11" s="918"/>
      <c r="J11" s="918"/>
    </row>
    <row r="12" spans="1:10">
      <c r="A12" t="s">
        <v>3870</v>
      </c>
      <c r="B12" s="915" t="s">
        <v>3613</v>
      </c>
      <c r="C12" s="915" t="str">
        <f t="shared" si="0"/>
        <v>6월</v>
      </c>
      <c r="D12" s="916" t="s">
        <v>3614</v>
      </c>
      <c r="E12" s="916"/>
      <c r="F12" s="916" t="s">
        <v>3615</v>
      </c>
      <c r="G12" s="915"/>
      <c r="H12" s="917">
        <v>279950</v>
      </c>
      <c r="I12" s="918"/>
      <c r="J12" s="917">
        <v>755780</v>
      </c>
    </row>
    <row r="13" spans="1:10">
      <c r="A13" t="s">
        <v>3870</v>
      </c>
      <c r="B13" s="915" t="s">
        <v>3616</v>
      </c>
      <c r="C13" s="915" t="str">
        <f t="shared" si="0"/>
        <v>9월</v>
      </c>
      <c r="D13" s="916" t="s">
        <v>3617</v>
      </c>
      <c r="E13" s="916"/>
      <c r="F13" s="916" t="s">
        <v>3610</v>
      </c>
      <c r="G13" s="915"/>
      <c r="H13" s="917">
        <v>44400</v>
      </c>
      <c r="I13" s="918"/>
      <c r="J13" s="918"/>
    </row>
    <row r="14" spans="1:10">
      <c r="A14" t="s">
        <v>3870</v>
      </c>
      <c r="B14" s="915" t="s">
        <v>3616</v>
      </c>
      <c r="C14" s="915" t="str">
        <f t="shared" si="0"/>
        <v>9월</v>
      </c>
      <c r="D14" s="916" t="s">
        <v>3617</v>
      </c>
      <c r="E14" s="916"/>
      <c r="F14" s="916" t="s">
        <v>3600</v>
      </c>
      <c r="G14" s="915"/>
      <c r="H14" s="917">
        <v>30860</v>
      </c>
      <c r="I14" s="918"/>
      <c r="J14" s="917">
        <v>831040</v>
      </c>
    </row>
    <row r="15" spans="1:10">
      <c r="A15" t="s">
        <v>3870</v>
      </c>
      <c r="B15" s="915" t="s">
        <v>3618</v>
      </c>
      <c r="C15" s="915" t="str">
        <f t="shared" si="0"/>
        <v>11월</v>
      </c>
      <c r="D15" s="916" t="s">
        <v>3619</v>
      </c>
      <c r="E15" s="916"/>
      <c r="F15" s="916" t="s">
        <v>3620</v>
      </c>
      <c r="G15" s="915"/>
      <c r="H15" s="917">
        <v>141570</v>
      </c>
      <c r="I15" s="918"/>
      <c r="J15" s="917">
        <v>972610</v>
      </c>
    </row>
    <row r="16" spans="1:10">
      <c r="A16" t="s">
        <v>3870</v>
      </c>
      <c r="B16" s="915" t="s">
        <v>3621</v>
      </c>
      <c r="C16" s="915" t="str">
        <f t="shared" si="0"/>
        <v>11월</v>
      </c>
      <c r="D16" s="916" t="s">
        <v>3622</v>
      </c>
      <c r="E16" s="916"/>
      <c r="F16" s="916" t="s">
        <v>3623</v>
      </c>
      <c r="G16" s="915"/>
      <c r="H16" s="917">
        <v>302500</v>
      </c>
      <c r="I16" s="918"/>
      <c r="J16" s="917">
        <v>1275110</v>
      </c>
    </row>
    <row r="17" spans="1:10">
      <c r="A17" t="s">
        <v>3870</v>
      </c>
      <c r="B17" s="915" t="s">
        <v>3624</v>
      </c>
      <c r="C17" s="915" t="str">
        <f t="shared" si="0"/>
        <v>11월</v>
      </c>
      <c r="D17" s="916" t="s">
        <v>3625</v>
      </c>
      <c r="E17" s="916"/>
      <c r="F17" s="916" t="s">
        <v>3626</v>
      </c>
      <c r="G17" s="915"/>
      <c r="H17" s="917">
        <v>338800</v>
      </c>
      <c r="I17" s="918"/>
      <c r="J17" s="918"/>
    </row>
    <row r="18" spans="1:10">
      <c r="A18" t="s">
        <v>3870</v>
      </c>
      <c r="B18" s="915" t="s">
        <v>3624</v>
      </c>
      <c r="C18" s="915" t="str">
        <f t="shared" si="0"/>
        <v>11월</v>
      </c>
      <c r="D18" s="916" t="s">
        <v>3625</v>
      </c>
      <c r="E18" s="916"/>
      <c r="F18" s="916" t="s">
        <v>3627</v>
      </c>
      <c r="G18" s="915"/>
      <c r="H18" s="917">
        <v>25800</v>
      </c>
      <c r="I18" s="918"/>
      <c r="J18" s="917">
        <v>1639710</v>
      </c>
    </row>
    <row r="19" spans="1:10">
      <c r="A19" t="s">
        <v>3870</v>
      </c>
      <c r="B19" s="915" t="s">
        <v>3332</v>
      </c>
      <c r="C19" s="915" t="str">
        <f t="shared" si="0"/>
        <v>12월</v>
      </c>
      <c r="D19" s="916" t="s">
        <v>3628</v>
      </c>
      <c r="E19" s="916"/>
      <c r="F19" s="916"/>
      <c r="G19" s="915"/>
      <c r="H19" s="917">
        <v>-700</v>
      </c>
      <c r="I19" s="918"/>
      <c r="J19" s="917">
        <v>1639010</v>
      </c>
    </row>
    <row r="20" spans="1:10">
      <c r="A20" t="s">
        <v>3871</v>
      </c>
      <c r="B20" s="915" t="s">
        <v>3632</v>
      </c>
      <c r="C20" s="915" t="str">
        <f t="shared" si="0"/>
        <v>1월</v>
      </c>
      <c r="D20" s="916" t="s">
        <v>3633</v>
      </c>
      <c r="E20" s="916"/>
      <c r="F20" s="916" t="s">
        <v>3634</v>
      </c>
      <c r="G20" s="915"/>
      <c r="H20" s="917">
        <v>12000</v>
      </c>
      <c r="I20" s="918"/>
      <c r="J20" s="917">
        <v>12000</v>
      </c>
    </row>
    <row r="21" spans="1:10">
      <c r="A21" t="s">
        <v>3871</v>
      </c>
      <c r="B21" s="915" t="s">
        <v>3635</v>
      </c>
      <c r="C21" s="915" t="str">
        <f t="shared" si="0"/>
        <v>1월</v>
      </c>
      <c r="D21" s="916" t="s">
        <v>3636</v>
      </c>
      <c r="E21" s="916"/>
      <c r="F21" s="916" t="s">
        <v>3637</v>
      </c>
      <c r="G21" s="915"/>
      <c r="H21" s="917">
        <v>70970</v>
      </c>
      <c r="I21" s="918"/>
      <c r="J21" s="918"/>
    </row>
    <row r="22" spans="1:10">
      <c r="A22" t="s">
        <v>3871</v>
      </c>
      <c r="B22" s="915" t="s">
        <v>3635</v>
      </c>
      <c r="C22" s="915" t="str">
        <f t="shared" si="0"/>
        <v>1월</v>
      </c>
      <c r="D22" s="916" t="s">
        <v>3636</v>
      </c>
      <c r="E22" s="916"/>
      <c r="F22" s="916" t="s">
        <v>3638</v>
      </c>
      <c r="G22" s="915"/>
      <c r="H22" s="917">
        <v>11800</v>
      </c>
      <c r="I22" s="918"/>
      <c r="J22" s="918"/>
    </row>
    <row r="23" spans="1:10">
      <c r="A23" t="s">
        <v>3871</v>
      </c>
      <c r="B23" s="915" t="s">
        <v>3635</v>
      </c>
      <c r="C23" s="915" t="str">
        <f t="shared" si="0"/>
        <v>1월</v>
      </c>
      <c r="D23" s="916" t="s">
        <v>3636</v>
      </c>
      <c r="E23" s="916"/>
      <c r="F23" s="916" t="s">
        <v>3639</v>
      </c>
      <c r="G23" s="915"/>
      <c r="H23" s="917">
        <v>6000</v>
      </c>
      <c r="I23" s="918"/>
      <c r="J23" s="917">
        <v>100770</v>
      </c>
    </row>
    <row r="24" spans="1:10">
      <c r="A24" t="s">
        <v>3871</v>
      </c>
      <c r="B24" s="915" t="s">
        <v>3640</v>
      </c>
      <c r="C24" s="915" t="str">
        <f t="shared" si="0"/>
        <v>1월</v>
      </c>
      <c r="D24" s="916" t="s">
        <v>3641</v>
      </c>
      <c r="E24" s="916"/>
      <c r="F24" s="916" t="s">
        <v>3642</v>
      </c>
      <c r="G24" s="915"/>
      <c r="H24" s="917">
        <v>166100</v>
      </c>
      <c r="I24" s="918"/>
      <c r="J24" s="917">
        <v>266870</v>
      </c>
    </row>
    <row r="25" spans="1:10">
      <c r="A25" t="s">
        <v>3871</v>
      </c>
      <c r="B25" s="915" t="s">
        <v>3643</v>
      </c>
      <c r="C25" s="915" t="str">
        <f t="shared" si="0"/>
        <v>1월</v>
      </c>
      <c r="D25" s="916" t="s">
        <v>3633</v>
      </c>
      <c r="E25" s="916"/>
      <c r="F25" s="916" t="s">
        <v>3644</v>
      </c>
      <c r="G25" s="915"/>
      <c r="H25" s="917">
        <v>12000</v>
      </c>
      <c r="I25" s="918"/>
      <c r="J25" s="917">
        <v>278870</v>
      </c>
    </row>
    <row r="26" spans="1:10">
      <c r="A26" t="s">
        <v>3871</v>
      </c>
      <c r="B26" s="915" t="s">
        <v>3645</v>
      </c>
      <c r="C26" s="915" t="str">
        <f t="shared" si="0"/>
        <v>1월</v>
      </c>
      <c r="D26" s="916" t="s">
        <v>3646</v>
      </c>
      <c r="E26" s="916" t="s">
        <v>3647</v>
      </c>
      <c r="F26" s="916" t="s">
        <v>3648</v>
      </c>
      <c r="G26" s="915"/>
      <c r="H26" s="917">
        <v>45500</v>
      </c>
      <c r="I26" s="918"/>
      <c r="J26" s="917">
        <v>324370</v>
      </c>
    </row>
    <row r="27" spans="1:10">
      <c r="A27" t="s">
        <v>3871</v>
      </c>
      <c r="B27" s="915" t="s">
        <v>3649</v>
      </c>
      <c r="C27" s="915" t="str">
        <f t="shared" si="0"/>
        <v>1월</v>
      </c>
      <c r="D27" s="916" t="s">
        <v>3641</v>
      </c>
      <c r="E27" s="916"/>
      <c r="F27" s="916" t="s">
        <v>3650</v>
      </c>
      <c r="G27" s="915"/>
      <c r="H27" s="917">
        <v>73040</v>
      </c>
      <c r="I27" s="918"/>
      <c r="J27" s="918"/>
    </row>
    <row r="28" spans="1:10">
      <c r="A28" t="s">
        <v>3871</v>
      </c>
      <c r="B28" s="915" t="s">
        <v>3649</v>
      </c>
      <c r="C28" s="915" t="str">
        <f t="shared" si="0"/>
        <v>1월</v>
      </c>
      <c r="D28" s="916" t="s">
        <v>3651</v>
      </c>
      <c r="E28" s="916"/>
      <c r="F28" s="916" t="s">
        <v>3652</v>
      </c>
      <c r="G28" s="915"/>
      <c r="H28" s="917">
        <v>110000</v>
      </c>
      <c r="I28" s="918"/>
      <c r="J28" s="918"/>
    </row>
    <row r="29" spans="1:10">
      <c r="A29" t="s">
        <v>3871</v>
      </c>
      <c r="B29" s="915" t="s">
        <v>3649</v>
      </c>
      <c r="C29" s="915" t="str">
        <f t="shared" si="0"/>
        <v>1월</v>
      </c>
      <c r="D29" s="916" t="s">
        <v>3651</v>
      </c>
      <c r="E29" s="916" t="s">
        <v>3653</v>
      </c>
      <c r="F29" s="916" t="s">
        <v>3654</v>
      </c>
      <c r="G29" s="915" t="s">
        <v>3655</v>
      </c>
      <c r="H29" s="917">
        <v>7800</v>
      </c>
      <c r="I29" s="918"/>
      <c r="J29" s="918"/>
    </row>
    <row r="30" spans="1:10">
      <c r="A30" t="s">
        <v>3871</v>
      </c>
      <c r="B30" s="915" t="s">
        <v>3649</v>
      </c>
      <c r="C30" s="915" t="str">
        <f t="shared" si="0"/>
        <v>1월</v>
      </c>
      <c r="D30" s="916" t="s">
        <v>3651</v>
      </c>
      <c r="E30" s="916"/>
      <c r="F30" s="916" t="s">
        <v>3656</v>
      </c>
      <c r="G30" s="915"/>
      <c r="H30" s="917">
        <v>12100</v>
      </c>
      <c r="I30" s="918"/>
      <c r="J30" s="918"/>
    </row>
    <row r="31" spans="1:10">
      <c r="A31" t="s">
        <v>3871</v>
      </c>
      <c r="B31" s="915" t="s">
        <v>3649</v>
      </c>
      <c r="C31" s="915" t="str">
        <f t="shared" si="0"/>
        <v>1월</v>
      </c>
      <c r="D31" s="916" t="s">
        <v>3651</v>
      </c>
      <c r="E31" s="916"/>
      <c r="F31" s="916" t="s">
        <v>3657</v>
      </c>
      <c r="G31" s="915"/>
      <c r="H31" s="917">
        <v>35000</v>
      </c>
      <c r="I31" s="918"/>
      <c r="J31" s="918"/>
    </row>
    <row r="32" spans="1:10">
      <c r="A32" t="s">
        <v>3871</v>
      </c>
      <c r="B32" s="915" t="s">
        <v>3649</v>
      </c>
      <c r="C32" s="915" t="str">
        <f t="shared" si="0"/>
        <v>1월</v>
      </c>
      <c r="D32" s="916" t="s">
        <v>3658</v>
      </c>
      <c r="E32" s="916"/>
      <c r="F32" s="916" t="s">
        <v>3659</v>
      </c>
      <c r="G32" s="915"/>
      <c r="H32" s="917">
        <v>79000</v>
      </c>
      <c r="I32" s="918"/>
      <c r="J32" s="917">
        <v>641310</v>
      </c>
    </row>
    <row r="33" spans="1:10">
      <c r="A33" t="s">
        <v>3871</v>
      </c>
      <c r="B33" s="915" t="s">
        <v>3601</v>
      </c>
      <c r="C33" s="915" t="str">
        <f t="shared" si="0"/>
        <v>2월</v>
      </c>
      <c r="D33" s="916" t="s">
        <v>3660</v>
      </c>
      <c r="E33" s="916" t="s">
        <v>3653</v>
      </c>
      <c r="F33" s="916" t="s">
        <v>3654</v>
      </c>
      <c r="G33" s="915" t="s">
        <v>3655</v>
      </c>
      <c r="H33" s="917">
        <v>13700</v>
      </c>
      <c r="I33" s="918"/>
      <c r="J33" s="918"/>
    </row>
    <row r="34" spans="1:10">
      <c r="A34" t="s">
        <v>3871</v>
      </c>
      <c r="B34" s="915" t="s">
        <v>3601</v>
      </c>
      <c r="C34" s="915" t="str">
        <f t="shared" si="0"/>
        <v>2월</v>
      </c>
      <c r="D34" s="916" t="s">
        <v>3660</v>
      </c>
      <c r="E34" s="916" t="s">
        <v>3653</v>
      </c>
      <c r="F34" s="916" t="s">
        <v>3654</v>
      </c>
      <c r="G34" s="915" t="s">
        <v>3655</v>
      </c>
      <c r="H34" s="917">
        <v>7100</v>
      </c>
      <c r="I34" s="918"/>
      <c r="J34" s="918"/>
    </row>
    <row r="35" spans="1:10">
      <c r="A35" t="s">
        <v>3871</v>
      </c>
      <c r="B35" s="915" t="s">
        <v>3601</v>
      </c>
      <c r="C35" s="915" t="str">
        <f t="shared" si="0"/>
        <v>2월</v>
      </c>
      <c r="D35" s="916" t="s">
        <v>3660</v>
      </c>
      <c r="E35" s="916"/>
      <c r="F35" s="916" t="s">
        <v>3661</v>
      </c>
      <c r="G35" s="915"/>
      <c r="H35" s="917">
        <v>15000</v>
      </c>
      <c r="I35" s="918"/>
      <c r="J35" s="918"/>
    </row>
    <row r="36" spans="1:10">
      <c r="A36" t="s">
        <v>3871</v>
      </c>
      <c r="B36" s="915" t="s">
        <v>3601</v>
      </c>
      <c r="C36" s="915" t="str">
        <f t="shared" si="0"/>
        <v>2월</v>
      </c>
      <c r="D36" s="916" t="s">
        <v>3660</v>
      </c>
      <c r="E36" s="916" t="s">
        <v>3653</v>
      </c>
      <c r="F36" s="916" t="s">
        <v>3654</v>
      </c>
      <c r="G36" s="915" t="s">
        <v>3655</v>
      </c>
      <c r="H36" s="917">
        <v>18000</v>
      </c>
      <c r="I36" s="918"/>
      <c r="J36" s="918"/>
    </row>
    <row r="37" spans="1:10">
      <c r="A37" t="s">
        <v>3871</v>
      </c>
      <c r="B37" s="915" t="s">
        <v>3601</v>
      </c>
      <c r="C37" s="915" t="str">
        <f t="shared" si="0"/>
        <v>2월</v>
      </c>
      <c r="D37" s="916" t="s">
        <v>3660</v>
      </c>
      <c r="E37" s="916"/>
      <c r="F37" s="916" t="s">
        <v>3662</v>
      </c>
      <c r="G37" s="915"/>
      <c r="H37" s="917">
        <v>3600</v>
      </c>
      <c r="I37" s="918"/>
      <c r="J37" s="918"/>
    </row>
    <row r="38" spans="1:10">
      <c r="A38" t="s">
        <v>3871</v>
      </c>
      <c r="B38" s="915" t="s">
        <v>3601</v>
      </c>
      <c r="C38" s="915" t="str">
        <f t="shared" si="0"/>
        <v>2월</v>
      </c>
      <c r="D38" s="916" t="s">
        <v>3660</v>
      </c>
      <c r="E38" s="916"/>
      <c r="F38" s="916" t="s">
        <v>3663</v>
      </c>
      <c r="G38" s="915"/>
      <c r="H38" s="917">
        <v>4000</v>
      </c>
      <c r="I38" s="918"/>
      <c r="J38" s="918"/>
    </row>
    <row r="39" spans="1:10">
      <c r="A39" t="s">
        <v>3871</v>
      </c>
      <c r="B39" s="915" t="s">
        <v>3601</v>
      </c>
      <c r="C39" s="915" t="str">
        <f t="shared" si="0"/>
        <v>2월</v>
      </c>
      <c r="D39" s="916" t="s">
        <v>3660</v>
      </c>
      <c r="E39" s="916"/>
      <c r="F39" s="916" t="s">
        <v>3664</v>
      </c>
      <c r="G39" s="915"/>
      <c r="H39" s="917">
        <v>41000</v>
      </c>
      <c r="I39" s="918"/>
      <c r="J39" s="918"/>
    </row>
    <row r="40" spans="1:10">
      <c r="A40" t="s">
        <v>3871</v>
      </c>
      <c r="B40" s="915" t="s">
        <v>3601</v>
      </c>
      <c r="C40" s="915" t="str">
        <f t="shared" si="0"/>
        <v>2월</v>
      </c>
      <c r="D40" s="916" t="s">
        <v>3660</v>
      </c>
      <c r="E40" s="916"/>
      <c r="F40" s="916" t="s">
        <v>3665</v>
      </c>
      <c r="G40" s="915"/>
      <c r="H40" s="917">
        <v>10400</v>
      </c>
      <c r="I40" s="918"/>
      <c r="J40" s="918"/>
    </row>
    <row r="41" spans="1:10">
      <c r="A41" t="s">
        <v>3871</v>
      </c>
      <c r="B41" s="915" t="s">
        <v>3601</v>
      </c>
      <c r="C41" s="915" t="str">
        <f t="shared" si="0"/>
        <v>2월</v>
      </c>
      <c r="D41" s="916" t="s">
        <v>3660</v>
      </c>
      <c r="E41" s="916"/>
      <c r="F41" s="916" t="s">
        <v>3666</v>
      </c>
      <c r="G41" s="915"/>
      <c r="H41" s="917">
        <v>11000</v>
      </c>
      <c r="I41" s="918"/>
      <c r="J41" s="917">
        <v>765110</v>
      </c>
    </row>
    <row r="42" spans="1:10">
      <c r="A42" t="s">
        <v>3871</v>
      </c>
      <c r="B42" s="915" t="s">
        <v>3667</v>
      </c>
      <c r="C42" s="915" t="str">
        <f t="shared" si="0"/>
        <v>2월</v>
      </c>
      <c r="D42" s="916" t="s">
        <v>3668</v>
      </c>
      <c r="E42" s="916"/>
      <c r="F42" s="916" t="s">
        <v>3669</v>
      </c>
      <c r="G42" s="915"/>
      <c r="H42" s="917">
        <v>24000</v>
      </c>
      <c r="I42" s="918"/>
      <c r="J42" s="918"/>
    </row>
    <row r="43" spans="1:10">
      <c r="A43" t="s">
        <v>3871</v>
      </c>
      <c r="B43" s="915" t="s">
        <v>3667</v>
      </c>
      <c r="C43" s="915" t="str">
        <f t="shared" si="0"/>
        <v>2월</v>
      </c>
      <c r="D43" s="916" t="s">
        <v>3668</v>
      </c>
      <c r="E43" s="916"/>
      <c r="F43" s="916" t="s">
        <v>3670</v>
      </c>
      <c r="G43" s="915"/>
      <c r="H43" s="917">
        <v>4600</v>
      </c>
      <c r="I43" s="918"/>
      <c r="J43" s="918"/>
    </row>
    <row r="44" spans="1:10">
      <c r="A44" t="s">
        <v>3871</v>
      </c>
      <c r="B44" s="915" t="s">
        <v>3667</v>
      </c>
      <c r="C44" s="915" t="str">
        <f t="shared" si="0"/>
        <v>2월</v>
      </c>
      <c r="D44" s="916" t="s">
        <v>3668</v>
      </c>
      <c r="E44" s="916"/>
      <c r="F44" s="916" t="s">
        <v>3671</v>
      </c>
      <c r="G44" s="915"/>
      <c r="H44" s="917">
        <v>3800</v>
      </c>
      <c r="I44" s="918"/>
      <c r="J44" s="918"/>
    </row>
    <row r="45" spans="1:10">
      <c r="A45" t="s">
        <v>3871</v>
      </c>
      <c r="B45" s="915" t="s">
        <v>3667</v>
      </c>
      <c r="C45" s="915" t="str">
        <f t="shared" si="0"/>
        <v>2월</v>
      </c>
      <c r="D45" s="916" t="s">
        <v>3668</v>
      </c>
      <c r="E45" s="916"/>
      <c r="F45" s="916" t="s">
        <v>3672</v>
      </c>
      <c r="G45" s="915"/>
      <c r="H45" s="917">
        <v>8300</v>
      </c>
      <c r="I45" s="918"/>
      <c r="J45" s="918"/>
    </row>
    <row r="46" spans="1:10">
      <c r="A46" t="s">
        <v>3871</v>
      </c>
      <c r="B46" s="915" t="s">
        <v>3667</v>
      </c>
      <c r="C46" s="915" t="str">
        <f t="shared" si="0"/>
        <v>2월</v>
      </c>
      <c r="D46" s="916" t="s">
        <v>3668</v>
      </c>
      <c r="E46" s="916"/>
      <c r="F46" s="916" t="s">
        <v>3673</v>
      </c>
      <c r="G46" s="915"/>
      <c r="H46" s="917">
        <v>4200</v>
      </c>
      <c r="I46" s="918"/>
      <c r="J46" s="918"/>
    </row>
    <row r="47" spans="1:10">
      <c r="A47" t="s">
        <v>3871</v>
      </c>
      <c r="B47" s="915" t="s">
        <v>3667</v>
      </c>
      <c r="C47" s="915" t="str">
        <f t="shared" si="0"/>
        <v>2월</v>
      </c>
      <c r="D47" s="916" t="s">
        <v>3674</v>
      </c>
      <c r="E47" s="916"/>
      <c r="F47" s="916" t="s">
        <v>3675</v>
      </c>
      <c r="G47" s="915"/>
      <c r="H47" s="917">
        <v>22000</v>
      </c>
      <c r="I47" s="918"/>
      <c r="J47" s="917">
        <v>832010</v>
      </c>
    </row>
    <row r="48" spans="1:10">
      <c r="A48" t="s">
        <v>3871</v>
      </c>
      <c r="B48" s="915" t="s">
        <v>3676</v>
      </c>
      <c r="C48" s="915" t="str">
        <f t="shared" si="0"/>
        <v>2월</v>
      </c>
      <c r="D48" s="916" t="s">
        <v>3677</v>
      </c>
      <c r="E48" s="916"/>
      <c r="F48" s="916" t="s">
        <v>3650</v>
      </c>
      <c r="G48" s="915"/>
      <c r="H48" s="917">
        <v>100000</v>
      </c>
      <c r="I48" s="918"/>
      <c r="J48" s="917">
        <v>932010</v>
      </c>
    </row>
    <row r="49" spans="1:10">
      <c r="A49" t="s">
        <v>3871</v>
      </c>
      <c r="B49" s="915" t="s">
        <v>3678</v>
      </c>
      <c r="C49" s="915" t="str">
        <f t="shared" si="0"/>
        <v>2월</v>
      </c>
      <c r="D49" s="916" t="s">
        <v>3641</v>
      </c>
      <c r="E49" s="916"/>
      <c r="F49" s="916" t="s">
        <v>3679</v>
      </c>
      <c r="G49" s="915"/>
      <c r="H49" s="917">
        <v>74000</v>
      </c>
      <c r="I49" s="918"/>
      <c r="J49" s="917">
        <v>1006010</v>
      </c>
    </row>
    <row r="50" spans="1:10">
      <c r="A50" t="s">
        <v>3871</v>
      </c>
      <c r="B50" s="915" t="s">
        <v>3680</v>
      </c>
      <c r="C50" s="915" t="str">
        <f t="shared" si="0"/>
        <v>2월</v>
      </c>
      <c r="D50" s="916" t="s">
        <v>3681</v>
      </c>
      <c r="E50" s="916"/>
      <c r="F50" s="916" t="s">
        <v>3682</v>
      </c>
      <c r="G50" s="915"/>
      <c r="H50" s="917">
        <v>16000</v>
      </c>
      <c r="I50" s="918"/>
      <c r="J50" s="918"/>
    </row>
    <row r="51" spans="1:10">
      <c r="A51" t="s">
        <v>3871</v>
      </c>
      <c r="B51" s="915" t="s">
        <v>3680</v>
      </c>
      <c r="C51" s="915" t="str">
        <f t="shared" si="0"/>
        <v>2월</v>
      </c>
      <c r="D51" s="916" t="s">
        <v>3681</v>
      </c>
      <c r="E51" s="916"/>
      <c r="F51" s="916" t="s">
        <v>3683</v>
      </c>
      <c r="G51" s="915"/>
      <c r="H51" s="917">
        <v>2400</v>
      </c>
      <c r="I51" s="918"/>
      <c r="J51" s="918"/>
    </row>
    <row r="52" spans="1:10">
      <c r="A52" t="s">
        <v>3871</v>
      </c>
      <c r="B52" s="915" t="s">
        <v>3680</v>
      </c>
      <c r="C52" s="915" t="str">
        <f t="shared" si="0"/>
        <v>2월</v>
      </c>
      <c r="D52" s="916" t="s">
        <v>3681</v>
      </c>
      <c r="E52" s="916"/>
      <c r="F52" s="916" t="s">
        <v>3684</v>
      </c>
      <c r="G52" s="915"/>
      <c r="H52" s="917">
        <v>11000</v>
      </c>
      <c r="I52" s="918"/>
      <c r="J52" s="917">
        <v>1035410</v>
      </c>
    </row>
    <row r="53" spans="1:10">
      <c r="A53" t="s">
        <v>3871</v>
      </c>
      <c r="B53" s="915" t="s">
        <v>3685</v>
      </c>
      <c r="C53" s="915" t="str">
        <f t="shared" si="0"/>
        <v>2월</v>
      </c>
      <c r="D53" s="916" t="s">
        <v>3641</v>
      </c>
      <c r="E53" s="916"/>
      <c r="F53" s="916" t="s">
        <v>3686</v>
      </c>
      <c r="G53" s="915"/>
      <c r="H53" s="917">
        <v>7300</v>
      </c>
      <c r="I53" s="918"/>
      <c r="J53" s="917">
        <v>1042710</v>
      </c>
    </row>
    <row r="54" spans="1:10">
      <c r="A54" t="s">
        <v>3871</v>
      </c>
      <c r="B54" s="915" t="s">
        <v>3687</v>
      </c>
      <c r="C54" s="915" t="str">
        <f t="shared" si="0"/>
        <v>2월</v>
      </c>
      <c r="D54" s="916" t="s">
        <v>3660</v>
      </c>
      <c r="E54" s="916"/>
      <c r="F54" s="916" t="s">
        <v>3688</v>
      </c>
      <c r="G54" s="915"/>
      <c r="H54" s="917">
        <v>30000</v>
      </c>
      <c r="I54" s="918"/>
      <c r="J54" s="918"/>
    </row>
    <row r="55" spans="1:10">
      <c r="A55" t="s">
        <v>3871</v>
      </c>
      <c r="B55" s="915" t="s">
        <v>3687</v>
      </c>
      <c r="C55" s="915" t="str">
        <f t="shared" si="0"/>
        <v>2월</v>
      </c>
      <c r="D55" s="916" t="s">
        <v>3660</v>
      </c>
      <c r="E55" s="916"/>
      <c r="F55" s="916" t="s">
        <v>3689</v>
      </c>
      <c r="G55" s="915"/>
      <c r="H55" s="917">
        <v>8800</v>
      </c>
      <c r="I55" s="918"/>
      <c r="J55" s="918"/>
    </row>
    <row r="56" spans="1:10">
      <c r="A56" t="s">
        <v>3871</v>
      </c>
      <c r="B56" s="915" t="s">
        <v>3687</v>
      </c>
      <c r="C56" s="915" t="str">
        <f t="shared" si="0"/>
        <v>2월</v>
      </c>
      <c r="D56" s="916" t="s">
        <v>3660</v>
      </c>
      <c r="E56" s="916"/>
      <c r="F56" s="916" t="s">
        <v>3690</v>
      </c>
      <c r="G56" s="915"/>
      <c r="H56" s="917">
        <v>20000</v>
      </c>
      <c r="I56" s="918"/>
      <c r="J56" s="918"/>
    </row>
    <row r="57" spans="1:10">
      <c r="A57" t="s">
        <v>3871</v>
      </c>
      <c r="B57" s="915" t="s">
        <v>3687</v>
      </c>
      <c r="C57" s="915" t="str">
        <f t="shared" si="0"/>
        <v>2월</v>
      </c>
      <c r="D57" s="916" t="s">
        <v>3660</v>
      </c>
      <c r="E57" s="916"/>
      <c r="F57" s="916" t="s">
        <v>3691</v>
      </c>
      <c r="G57" s="915"/>
      <c r="H57" s="917">
        <v>63000</v>
      </c>
      <c r="I57" s="918"/>
      <c r="J57" s="918"/>
    </row>
    <row r="58" spans="1:10">
      <c r="A58" t="s">
        <v>3871</v>
      </c>
      <c r="B58" s="915" t="s">
        <v>3687</v>
      </c>
      <c r="C58" s="915" t="str">
        <f t="shared" si="0"/>
        <v>2월</v>
      </c>
      <c r="D58" s="916" t="s">
        <v>3660</v>
      </c>
      <c r="E58" s="916"/>
      <c r="F58" s="916" t="s">
        <v>3692</v>
      </c>
      <c r="G58" s="915"/>
      <c r="H58" s="917">
        <v>129000</v>
      </c>
      <c r="I58" s="918"/>
      <c r="J58" s="918"/>
    </row>
    <row r="59" spans="1:10">
      <c r="A59" t="s">
        <v>3871</v>
      </c>
      <c r="B59" s="915" t="s">
        <v>3687</v>
      </c>
      <c r="C59" s="915" t="str">
        <f t="shared" si="0"/>
        <v>2월</v>
      </c>
      <c r="D59" s="916" t="s">
        <v>3641</v>
      </c>
      <c r="E59" s="916"/>
      <c r="F59" s="916" t="s">
        <v>3652</v>
      </c>
      <c r="G59" s="915"/>
      <c r="H59" s="917">
        <v>105600</v>
      </c>
      <c r="I59" s="918"/>
      <c r="J59" s="917">
        <v>1399110</v>
      </c>
    </row>
    <row r="60" spans="1:10">
      <c r="A60" t="s">
        <v>3871</v>
      </c>
      <c r="B60" s="915" t="s">
        <v>3693</v>
      </c>
      <c r="C60" s="915" t="str">
        <f t="shared" si="0"/>
        <v>3월</v>
      </c>
      <c r="D60" s="916" t="s">
        <v>3641</v>
      </c>
      <c r="E60" s="916"/>
      <c r="F60" s="916" t="s">
        <v>3694</v>
      </c>
      <c r="G60" s="915"/>
      <c r="H60" s="917">
        <v>28500</v>
      </c>
      <c r="I60" s="918"/>
      <c r="J60" s="918"/>
    </row>
    <row r="61" spans="1:10">
      <c r="A61" t="s">
        <v>3871</v>
      </c>
      <c r="B61" s="915" t="s">
        <v>3693</v>
      </c>
      <c r="C61" s="915" t="str">
        <f t="shared" si="0"/>
        <v>3월</v>
      </c>
      <c r="D61" s="916" t="s">
        <v>3641</v>
      </c>
      <c r="E61" s="916"/>
      <c r="F61" s="916" t="s">
        <v>3695</v>
      </c>
      <c r="G61" s="915"/>
      <c r="H61" s="917">
        <v>27000</v>
      </c>
      <c r="I61" s="918"/>
      <c r="J61" s="917">
        <v>1454610</v>
      </c>
    </row>
    <row r="62" spans="1:10">
      <c r="A62" t="s">
        <v>3871</v>
      </c>
      <c r="B62" s="915" t="s">
        <v>3696</v>
      </c>
      <c r="C62" s="915" t="str">
        <f t="shared" si="0"/>
        <v>3월</v>
      </c>
      <c r="D62" s="916" t="s">
        <v>3660</v>
      </c>
      <c r="E62" s="916"/>
      <c r="F62" s="916" t="s">
        <v>3679</v>
      </c>
      <c r="G62" s="915"/>
      <c r="H62" s="917">
        <v>19000</v>
      </c>
      <c r="I62" s="918"/>
      <c r="J62" s="918"/>
    </row>
    <row r="63" spans="1:10">
      <c r="A63" t="s">
        <v>3871</v>
      </c>
      <c r="B63" s="915" t="s">
        <v>3696</v>
      </c>
      <c r="C63" s="915" t="str">
        <f t="shared" si="0"/>
        <v>3월</v>
      </c>
      <c r="D63" s="916" t="s">
        <v>3660</v>
      </c>
      <c r="E63" s="916"/>
      <c r="F63" s="916" t="s">
        <v>3697</v>
      </c>
      <c r="G63" s="915"/>
      <c r="H63" s="917">
        <v>13500</v>
      </c>
      <c r="I63" s="918"/>
      <c r="J63" s="917">
        <v>1487110</v>
      </c>
    </row>
    <row r="64" spans="1:10">
      <c r="A64" t="s">
        <v>3871</v>
      </c>
      <c r="B64" s="915" t="s">
        <v>3698</v>
      </c>
      <c r="C64" s="915" t="str">
        <f t="shared" si="0"/>
        <v>3월</v>
      </c>
      <c r="D64" s="916" t="s">
        <v>3660</v>
      </c>
      <c r="E64" s="916"/>
      <c r="F64" s="916" t="s">
        <v>3699</v>
      </c>
      <c r="G64" s="915"/>
      <c r="H64" s="917">
        <v>134500</v>
      </c>
      <c r="I64" s="918"/>
      <c r="J64" s="917">
        <v>1621610</v>
      </c>
    </row>
    <row r="65" spans="1:10">
      <c r="A65" t="s">
        <v>3871</v>
      </c>
      <c r="B65" s="915" t="s">
        <v>3700</v>
      </c>
      <c r="C65" s="915" t="str">
        <f t="shared" si="0"/>
        <v>3월</v>
      </c>
      <c r="D65" s="916" t="s">
        <v>3660</v>
      </c>
      <c r="E65" s="916"/>
      <c r="F65" s="916" t="s">
        <v>3701</v>
      </c>
      <c r="G65" s="915"/>
      <c r="H65" s="917">
        <v>120000</v>
      </c>
      <c r="I65" s="918"/>
      <c r="J65" s="918"/>
    </row>
    <row r="66" spans="1:10">
      <c r="A66" t="s">
        <v>3871</v>
      </c>
      <c r="B66" s="915" t="s">
        <v>3700</v>
      </c>
      <c r="C66" s="915" t="str">
        <f t="shared" si="0"/>
        <v>3월</v>
      </c>
      <c r="D66" s="916" t="s">
        <v>3660</v>
      </c>
      <c r="E66" s="916"/>
      <c r="F66" s="916" t="s">
        <v>3702</v>
      </c>
      <c r="G66" s="915"/>
      <c r="H66" s="917">
        <v>7000</v>
      </c>
      <c r="I66" s="918"/>
      <c r="J66" s="918"/>
    </row>
    <row r="67" spans="1:10">
      <c r="A67" t="s">
        <v>3871</v>
      </c>
      <c r="B67" s="915" t="s">
        <v>3700</v>
      </c>
      <c r="C67" s="915" t="str">
        <f t="shared" ref="C67:C130" si="1">MONTH(B67)&amp;"월"</f>
        <v>3월</v>
      </c>
      <c r="D67" s="916" t="s">
        <v>3703</v>
      </c>
      <c r="E67" s="916"/>
      <c r="F67" s="916" t="s">
        <v>3704</v>
      </c>
      <c r="G67" s="915"/>
      <c r="H67" s="917">
        <v>80100</v>
      </c>
      <c r="I67" s="918"/>
      <c r="J67" s="917">
        <v>1828710</v>
      </c>
    </row>
    <row r="68" spans="1:10">
      <c r="A68" t="s">
        <v>3871</v>
      </c>
      <c r="B68" s="915" t="s">
        <v>3705</v>
      </c>
      <c r="C68" s="915" t="str">
        <f t="shared" si="1"/>
        <v>3월</v>
      </c>
      <c r="D68" s="916" t="s">
        <v>3641</v>
      </c>
      <c r="E68" s="916"/>
      <c r="F68" s="916" t="s">
        <v>3652</v>
      </c>
      <c r="G68" s="915"/>
      <c r="H68" s="917">
        <v>52800</v>
      </c>
      <c r="I68" s="918"/>
      <c r="J68" s="917">
        <v>1881510</v>
      </c>
    </row>
    <row r="69" spans="1:10">
      <c r="A69" t="s">
        <v>3871</v>
      </c>
      <c r="B69" s="915" t="s">
        <v>3706</v>
      </c>
      <c r="C69" s="915" t="str">
        <f t="shared" si="1"/>
        <v>3월</v>
      </c>
      <c r="D69" s="916" t="s">
        <v>3641</v>
      </c>
      <c r="E69" s="916"/>
      <c r="F69" s="916" t="s">
        <v>3707</v>
      </c>
      <c r="G69" s="915"/>
      <c r="H69" s="917">
        <v>249700</v>
      </c>
      <c r="I69" s="918"/>
      <c r="J69" s="917">
        <v>2131210</v>
      </c>
    </row>
    <row r="70" spans="1:10">
      <c r="A70" t="s">
        <v>3871</v>
      </c>
      <c r="B70" s="915" t="s">
        <v>3708</v>
      </c>
      <c r="C70" s="915" t="str">
        <f t="shared" si="1"/>
        <v>4월</v>
      </c>
      <c r="D70" s="916" t="s">
        <v>3709</v>
      </c>
      <c r="E70" s="916"/>
      <c r="F70" s="916" t="s">
        <v>3710</v>
      </c>
      <c r="G70" s="915"/>
      <c r="H70" s="917">
        <v>66000</v>
      </c>
      <c r="I70" s="918"/>
      <c r="J70" s="917">
        <v>2197210</v>
      </c>
    </row>
    <row r="71" spans="1:10">
      <c r="A71" t="s">
        <v>3871</v>
      </c>
      <c r="B71" s="915" t="s">
        <v>3711</v>
      </c>
      <c r="C71" s="915" t="str">
        <f t="shared" si="1"/>
        <v>4월</v>
      </c>
      <c r="D71" s="916" t="s">
        <v>3712</v>
      </c>
      <c r="E71" s="916"/>
      <c r="F71" s="916" t="s">
        <v>3713</v>
      </c>
      <c r="G71" s="915"/>
      <c r="H71" s="917">
        <v>-4000000</v>
      </c>
      <c r="I71" s="918"/>
      <c r="J71" s="917">
        <v>-1802790</v>
      </c>
    </row>
    <row r="72" spans="1:10">
      <c r="A72" t="s">
        <v>3871</v>
      </c>
      <c r="B72" s="915" t="s">
        <v>3714</v>
      </c>
      <c r="C72" s="915" t="str">
        <f t="shared" si="1"/>
        <v>4월</v>
      </c>
      <c r="D72" s="916" t="s">
        <v>3715</v>
      </c>
      <c r="E72" s="916"/>
      <c r="F72" s="916" t="s">
        <v>3716</v>
      </c>
      <c r="G72" s="915"/>
      <c r="H72" s="917">
        <v>62000</v>
      </c>
      <c r="I72" s="918"/>
      <c r="J72" s="918"/>
    </row>
    <row r="73" spans="1:10">
      <c r="A73" t="s">
        <v>3871</v>
      </c>
      <c r="B73" s="915" t="s">
        <v>3714</v>
      </c>
      <c r="C73" s="915" t="str">
        <f t="shared" si="1"/>
        <v>4월</v>
      </c>
      <c r="D73" s="916" t="s">
        <v>3715</v>
      </c>
      <c r="E73" s="916"/>
      <c r="F73" s="916" t="s">
        <v>3610</v>
      </c>
      <c r="G73" s="915"/>
      <c r="H73" s="917">
        <v>14600</v>
      </c>
      <c r="I73" s="918"/>
      <c r="J73" s="917">
        <v>-1726190</v>
      </c>
    </row>
    <row r="74" spans="1:10">
      <c r="A74" t="s">
        <v>3871</v>
      </c>
      <c r="B74" s="915" t="s">
        <v>3717</v>
      </c>
      <c r="C74" s="915" t="str">
        <f t="shared" si="1"/>
        <v>4월</v>
      </c>
      <c r="D74" s="916" t="s">
        <v>3718</v>
      </c>
      <c r="E74" s="916"/>
      <c r="F74" s="916" t="s">
        <v>3626</v>
      </c>
      <c r="G74" s="915"/>
      <c r="H74" s="917">
        <v>264000</v>
      </c>
      <c r="I74" s="918"/>
      <c r="J74" s="917">
        <v>-1462190</v>
      </c>
    </row>
    <row r="75" spans="1:10">
      <c r="A75" t="s">
        <v>3871</v>
      </c>
      <c r="B75" s="915" t="s">
        <v>3719</v>
      </c>
      <c r="C75" s="915" t="str">
        <f t="shared" si="1"/>
        <v>4월</v>
      </c>
      <c r="D75" s="916" t="s">
        <v>3660</v>
      </c>
      <c r="E75" s="916"/>
      <c r="F75" s="916" t="s">
        <v>3692</v>
      </c>
      <c r="G75" s="915"/>
      <c r="H75" s="917">
        <v>55000</v>
      </c>
      <c r="I75" s="918"/>
      <c r="J75" s="917">
        <v>-1407190</v>
      </c>
    </row>
    <row r="76" spans="1:10">
      <c r="A76" t="s">
        <v>3871</v>
      </c>
      <c r="B76" s="915" t="s">
        <v>3720</v>
      </c>
      <c r="C76" s="915" t="str">
        <f t="shared" si="1"/>
        <v>4월</v>
      </c>
      <c r="D76" s="916" t="s">
        <v>3641</v>
      </c>
      <c r="E76" s="916"/>
      <c r="F76" s="916" t="s">
        <v>3721</v>
      </c>
      <c r="G76" s="915"/>
      <c r="H76" s="917">
        <v>40700</v>
      </c>
      <c r="I76" s="918"/>
      <c r="J76" s="917">
        <v>-1366490</v>
      </c>
    </row>
    <row r="77" spans="1:10">
      <c r="A77" t="s">
        <v>3871</v>
      </c>
      <c r="B77" s="915" t="s">
        <v>3722</v>
      </c>
      <c r="C77" s="915" t="str">
        <f t="shared" si="1"/>
        <v>4월</v>
      </c>
      <c r="D77" s="916" t="s">
        <v>3723</v>
      </c>
      <c r="E77" s="916"/>
      <c r="F77" s="916" t="s">
        <v>3724</v>
      </c>
      <c r="G77" s="915"/>
      <c r="H77" s="917">
        <v>30000</v>
      </c>
      <c r="I77" s="918"/>
      <c r="J77" s="917">
        <v>-1336490</v>
      </c>
    </row>
    <row r="78" spans="1:10">
      <c r="A78" t="s">
        <v>3871</v>
      </c>
      <c r="B78" s="915" t="s">
        <v>3725</v>
      </c>
      <c r="C78" s="915" t="str">
        <f t="shared" si="1"/>
        <v>4월</v>
      </c>
      <c r="D78" s="916" t="s">
        <v>3641</v>
      </c>
      <c r="E78" s="916"/>
      <c r="F78" s="916" t="s">
        <v>3726</v>
      </c>
      <c r="G78" s="915"/>
      <c r="H78" s="917">
        <v>102500</v>
      </c>
      <c r="I78" s="918"/>
      <c r="J78" s="917">
        <v>-1233990</v>
      </c>
    </row>
    <row r="79" spans="1:10">
      <c r="A79" t="s">
        <v>3871</v>
      </c>
      <c r="B79" s="915" t="s">
        <v>3727</v>
      </c>
      <c r="C79" s="915" t="str">
        <f t="shared" si="1"/>
        <v>5월</v>
      </c>
      <c r="D79" s="916" t="s">
        <v>3641</v>
      </c>
      <c r="E79" s="916"/>
      <c r="F79" s="916" t="s">
        <v>3716</v>
      </c>
      <c r="G79" s="915"/>
      <c r="H79" s="917">
        <v>23000</v>
      </c>
      <c r="I79" s="918"/>
      <c r="J79" s="917">
        <v>-1210990</v>
      </c>
    </row>
    <row r="80" spans="1:10">
      <c r="A80" t="s">
        <v>3871</v>
      </c>
      <c r="B80" s="915" t="s">
        <v>3728</v>
      </c>
      <c r="C80" s="915" t="str">
        <f t="shared" si="1"/>
        <v>5월</v>
      </c>
      <c r="D80" s="916" t="s">
        <v>3729</v>
      </c>
      <c r="E80" s="916"/>
      <c r="F80" s="916" t="s">
        <v>3730</v>
      </c>
      <c r="G80" s="915"/>
      <c r="H80" s="917">
        <v>91000</v>
      </c>
      <c r="I80" s="918"/>
      <c r="J80" s="918"/>
    </row>
    <row r="81" spans="1:10">
      <c r="A81" t="s">
        <v>3871</v>
      </c>
      <c r="B81" s="915" t="s">
        <v>3728</v>
      </c>
      <c r="C81" s="915" t="str">
        <f t="shared" si="1"/>
        <v>5월</v>
      </c>
      <c r="D81" s="916" t="s">
        <v>3729</v>
      </c>
      <c r="E81" s="916"/>
      <c r="F81" s="916" t="s">
        <v>3731</v>
      </c>
      <c r="G81" s="915"/>
      <c r="H81" s="917">
        <v>55000</v>
      </c>
      <c r="I81" s="918"/>
      <c r="J81" s="918"/>
    </row>
    <row r="82" spans="1:10">
      <c r="A82" t="s">
        <v>3871</v>
      </c>
      <c r="B82" s="915" t="s">
        <v>3728</v>
      </c>
      <c r="C82" s="915" t="str">
        <f t="shared" si="1"/>
        <v>5월</v>
      </c>
      <c r="D82" s="916" t="s">
        <v>3660</v>
      </c>
      <c r="E82" s="916"/>
      <c r="F82" s="916" t="s">
        <v>3732</v>
      </c>
      <c r="G82" s="915"/>
      <c r="H82" s="917">
        <v>24000</v>
      </c>
      <c r="I82" s="918"/>
      <c r="J82" s="918"/>
    </row>
    <row r="83" spans="1:10">
      <c r="A83" t="s">
        <v>3871</v>
      </c>
      <c r="B83" s="915" t="s">
        <v>3728</v>
      </c>
      <c r="C83" s="915" t="str">
        <f t="shared" si="1"/>
        <v>5월</v>
      </c>
      <c r="D83" s="916" t="s">
        <v>3660</v>
      </c>
      <c r="E83" s="916"/>
      <c r="F83" s="916" t="s">
        <v>3733</v>
      </c>
      <c r="G83" s="915"/>
      <c r="H83" s="917">
        <v>2400</v>
      </c>
      <c r="I83" s="918"/>
      <c r="J83" s="918"/>
    </row>
    <row r="84" spans="1:10">
      <c r="A84" t="s">
        <v>3871</v>
      </c>
      <c r="B84" s="915" t="s">
        <v>3728</v>
      </c>
      <c r="C84" s="915" t="str">
        <f t="shared" si="1"/>
        <v>5월</v>
      </c>
      <c r="D84" s="916" t="s">
        <v>3660</v>
      </c>
      <c r="E84" s="916"/>
      <c r="F84" s="916" t="s">
        <v>3734</v>
      </c>
      <c r="G84" s="915"/>
      <c r="H84" s="917">
        <v>2400</v>
      </c>
      <c r="I84" s="918"/>
      <c r="J84" s="917">
        <v>-1036190</v>
      </c>
    </row>
    <row r="85" spans="1:10">
      <c r="A85" t="s">
        <v>3871</v>
      </c>
      <c r="B85" s="915" t="s">
        <v>3735</v>
      </c>
      <c r="C85" s="915" t="str">
        <f t="shared" si="1"/>
        <v>5월</v>
      </c>
      <c r="D85" s="916" t="s">
        <v>3703</v>
      </c>
      <c r="E85" s="916"/>
      <c r="F85" s="916" t="s">
        <v>3736</v>
      </c>
      <c r="G85" s="915"/>
      <c r="H85" s="917">
        <v>121170</v>
      </c>
      <c r="I85" s="918"/>
      <c r="J85" s="917">
        <v>-915020</v>
      </c>
    </row>
    <row r="86" spans="1:10">
      <c r="A86" t="s">
        <v>3871</v>
      </c>
      <c r="B86" s="915" t="s">
        <v>3737</v>
      </c>
      <c r="C86" s="915" t="str">
        <f t="shared" si="1"/>
        <v>5월</v>
      </c>
      <c r="D86" s="916" t="s">
        <v>3641</v>
      </c>
      <c r="E86" s="916"/>
      <c r="F86" s="916" t="s">
        <v>3738</v>
      </c>
      <c r="G86" s="915"/>
      <c r="H86" s="917">
        <v>112000</v>
      </c>
      <c r="I86" s="918"/>
      <c r="J86" s="918"/>
    </row>
    <row r="87" spans="1:10">
      <c r="A87" t="s">
        <v>3871</v>
      </c>
      <c r="B87" s="915" t="s">
        <v>3737</v>
      </c>
      <c r="C87" s="915" t="str">
        <f t="shared" si="1"/>
        <v>5월</v>
      </c>
      <c r="D87" s="916" t="s">
        <v>3641</v>
      </c>
      <c r="E87" s="916"/>
      <c r="F87" s="916" t="s">
        <v>3626</v>
      </c>
      <c r="G87" s="915"/>
      <c r="H87" s="917">
        <v>88000</v>
      </c>
      <c r="I87" s="918"/>
      <c r="J87" s="917">
        <v>-715020</v>
      </c>
    </row>
    <row r="88" spans="1:10">
      <c r="A88" t="s">
        <v>3871</v>
      </c>
      <c r="B88" s="915" t="s">
        <v>3739</v>
      </c>
      <c r="C88" s="915" t="str">
        <f t="shared" si="1"/>
        <v>5월</v>
      </c>
      <c r="D88" s="916" t="s">
        <v>3740</v>
      </c>
      <c r="E88" s="916"/>
      <c r="F88" s="916" t="s">
        <v>3741</v>
      </c>
      <c r="G88" s="915"/>
      <c r="H88" s="917">
        <v>7000</v>
      </c>
      <c r="I88" s="918"/>
      <c r="J88" s="918"/>
    </row>
    <row r="89" spans="1:10">
      <c r="A89" t="s">
        <v>3871</v>
      </c>
      <c r="B89" s="915" t="s">
        <v>3739</v>
      </c>
      <c r="C89" s="915" t="str">
        <f t="shared" si="1"/>
        <v>5월</v>
      </c>
      <c r="D89" s="916" t="s">
        <v>3740</v>
      </c>
      <c r="E89" s="916"/>
      <c r="F89" s="916" t="s">
        <v>3742</v>
      </c>
      <c r="G89" s="915"/>
      <c r="H89" s="917">
        <v>80500</v>
      </c>
      <c r="I89" s="918"/>
      <c r="J89" s="918"/>
    </row>
    <row r="90" spans="1:10">
      <c r="A90" t="s">
        <v>3871</v>
      </c>
      <c r="B90" s="915" t="s">
        <v>3739</v>
      </c>
      <c r="C90" s="915" t="str">
        <f t="shared" si="1"/>
        <v>5월</v>
      </c>
      <c r="D90" s="916" t="s">
        <v>3740</v>
      </c>
      <c r="E90" s="916"/>
      <c r="F90" s="916" t="s">
        <v>3743</v>
      </c>
      <c r="G90" s="915"/>
      <c r="H90" s="917">
        <v>4300</v>
      </c>
      <c r="I90" s="918"/>
      <c r="J90" s="918"/>
    </row>
    <row r="91" spans="1:10">
      <c r="A91" t="s">
        <v>3871</v>
      </c>
      <c r="B91" s="915" t="s">
        <v>3739</v>
      </c>
      <c r="C91" s="915" t="str">
        <f t="shared" si="1"/>
        <v>5월</v>
      </c>
      <c r="D91" s="916" t="s">
        <v>3740</v>
      </c>
      <c r="E91" s="916"/>
      <c r="F91" s="916" t="s">
        <v>3744</v>
      </c>
      <c r="G91" s="915"/>
      <c r="H91" s="917">
        <v>118800</v>
      </c>
      <c r="I91" s="918"/>
      <c r="J91" s="917">
        <v>-504420</v>
      </c>
    </row>
    <row r="92" spans="1:10">
      <c r="A92" t="s">
        <v>3871</v>
      </c>
      <c r="B92" s="915" t="s">
        <v>3745</v>
      </c>
      <c r="C92" s="915" t="str">
        <f t="shared" si="1"/>
        <v>5월</v>
      </c>
      <c r="D92" s="916" t="s">
        <v>3660</v>
      </c>
      <c r="E92" s="916"/>
      <c r="F92" s="916" t="s">
        <v>3746</v>
      </c>
      <c r="G92" s="915"/>
      <c r="H92" s="917">
        <v>54351</v>
      </c>
      <c r="I92" s="918"/>
      <c r="J92" s="917">
        <v>-450069</v>
      </c>
    </row>
    <row r="93" spans="1:10">
      <c r="A93" t="s">
        <v>3871</v>
      </c>
      <c r="B93" s="915" t="s">
        <v>3747</v>
      </c>
      <c r="C93" s="915" t="str">
        <f t="shared" si="1"/>
        <v>5월</v>
      </c>
      <c r="D93" s="916" t="s">
        <v>3641</v>
      </c>
      <c r="E93" s="916"/>
      <c r="F93" s="916" t="s">
        <v>3716</v>
      </c>
      <c r="G93" s="915"/>
      <c r="H93" s="917">
        <v>110000</v>
      </c>
      <c r="I93" s="918"/>
      <c r="J93" s="917">
        <v>-340069</v>
      </c>
    </row>
    <row r="94" spans="1:10">
      <c r="A94" t="s">
        <v>3871</v>
      </c>
      <c r="B94" s="915" t="s">
        <v>3748</v>
      </c>
      <c r="C94" s="915" t="str">
        <f t="shared" si="1"/>
        <v>6월</v>
      </c>
      <c r="D94" s="916" t="s">
        <v>3740</v>
      </c>
      <c r="E94" s="916"/>
      <c r="F94" s="916" t="s">
        <v>3716</v>
      </c>
      <c r="G94" s="915"/>
      <c r="H94" s="917">
        <v>72000</v>
      </c>
      <c r="I94" s="918"/>
      <c r="J94" s="918"/>
    </row>
    <row r="95" spans="1:10">
      <c r="A95" t="s">
        <v>3871</v>
      </c>
      <c r="B95" s="915" t="s">
        <v>3748</v>
      </c>
      <c r="C95" s="915" t="str">
        <f t="shared" si="1"/>
        <v>6월</v>
      </c>
      <c r="D95" s="916" t="s">
        <v>3740</v>
      </c>
      <c r="E95" s="916"/>
      <c r="F95" s="916" t="s">
        <v>3657</v>
      </c>
      <c r="G95" s="915"/>
      <c r="H95" s="917">
        <v>50000</v>
      </c>
      <c r="I95" s="918"/>
      <c r="J95" s="917">
        <v>-218069</v>
      </c>
    </row>
    <row r="96" spans="1:10">
      <c r="A96" t="s">
        <v>3871</v>
      </c>
      <c r="B96" s="915" t="s">
        <v>3749</v>
      </c>
      <c r="C96" s="915" t="str">
        <f t="shared" si="1"/>
        <v>6월</v>
      </c>
      <c r="D96" s="916" t="s">
        <v>3641</v>
      </c>
      <c r="E96" s="916"/>
      <c r="F96" s="916" t="s">
        <v>3652</v>
      </c>
      <c r="G96" s="915"/>
      <c r="H96" s="917">
        <v>52800</v>
      </c>
      <c r="I96" s="918"/>
      <c r="J96" s="917">
        <v>-165269</v>
      </c>
    </row>
    <row r="97" spans="1:10">
      <c r="A97" t="s">
        <v>3871</v>
      </c>
      <c r="B97" s="915" t="s">
        <v>3750</v>
      </c>
      <c r="C97" s="915" t="str">
        <f t="shared" si="1"/>
        <v>6월</v>
      </c>
      <c r="D97" s="916" t="s">
        <v>3660</v>
      </c>
      <c r="E97" s="916"/>
      <c r="F97" s="916" t="s">
        <v>3751</v>
      </c>
      <c r="G97" s="915"/>
      <c r="H97" s="917">
        <v>30000</v>
      </c>
      <c r="I97" s="918"/>
      <c r="J97" s="917">
        <v>-135269</v>
      </c>
    </row>
    <row r="98" spans="1:10">
      <c r="A98" t="s">
        <v>3871</v>
      </c>
      <c r="B98" s="915" t="s">
        <v>3608</v>
      </c>
      <c r="C98" s="915" t="str">
        <f t="shared" si="1"/>
        <v>6월</v>
      </c>
      <c r="D98" s="916" t="s">
        <v>3752</v>
      </c>
      <c r="E98" s="916"/>
      <c r="F98" s="916" t="s">
        <v>3753</v>
      </c>
      <c r="G98" s="915"/>
      <c r="H98" s="917">
        <v>150000</v>
      </c>
      <c r="I98" s="918"/>
      <c r="J98" s="917">
        <v>14731</v>
      </c>
    </row>
    <row r="99" spans="1:10">
      <c r="A99" t="s">
        <v>3871</v>
      </c>
      <c r="B99" s="915" t="s">
        <v>3754</v>
      </c>
      <c r="C99" s="915" t="str">
        <f t="shared" si="1"/>
        <v>6월</v>
      </c>
      <c r="D99" s="916" t="s">
        <v>3641</v>
      </c>
      <c r="E99" s="916"/>
      <c r="F99" s="916" t="s">
        <v>3726</v>
      </c>
      <c r="G99" s="915"/>
      <c r="H99" s="917">
        <v>47300</v>
      </c>
      <c r="I99" s="918"/>
      <c r="J99" s="918"/>
    </row>
    <row r="100" spans="1:10">
      <c r="A100" t="s">
        <v>3871</v>
      </c>
      <c r="B100" s="915" t="s">
        <v>3754</v>
      </c>
      <c r="C100" s="915" t="str">
        <f t="shared" si="1"/>
        <v>6월</v>
      </c>
      <c r="D100" s="916" t="s">
        <v>3755</v>
      </c>
      <c r="E100" s="916"/>
      <c r="F100" s="916" t="s">
        <v>3756</v>
      </c>
      <c r="G100" s="915"/>
      <c r="H100" s="917">
        <v>100000</v>
      </c>
      <c r="I100" s="918"/>
      <c r="J100" s="917">
        <v>162031</v>
      </c>
    </row>
    <row r="101" spans="1:10">
      <c r="A101" t="s">
        <v>3871</v>
      </c>
      <c r="B101" s="915" t="s">
        <v>3757</v>
      </c>
      <c r="C101" s="915" t="str">
        <f t="shared" si="1"/>
        <v>7월</v>
      </c>
      <c r="D101" s="916" t="s">
        <v>3740</v>
      </c>
      <c r="E101" s="916"/>
      <c r="F101" s="916" t="s">
        <v>3758</v>
      </c>
      <c r="G101" s="915"/>
      <c r="H101" s="917">
        <v>11100</v>
      </c>
      <c r="I101" s="918"/>
      <c r="J101" s="918"/>
    </row>
    <row r="102" spans="1:10">
      <c r="A102" t="s">
        <v>3871</v>
      </c>
      <c r="B102" s="915" t="s">
        <v>3757</v>
      </c>
      <c r="C102" s="915" t="str">
        <f t="shared" si="1"/>
        <v>7월</v>
      </c>
      <c r="D102" s="916" t="s">
        <v>3740</v>
      </c>
      <c r="E102" s="916"/>
      <c r="F102" s="916" t="s">
        <v>3759</v>
      </c>
      <c r="G102" s="915"/>
      <c r="H102" s="917">
        <v>12500</v>
      </c>
      <c r="I102" s="918"/>
      <c r="J102" s="918"/>
    </row>
    <row r="103" spans="1:10">
      <c r="A103" t="s">
        <v>3871</v>
      </c>
      <c r="B103" s="915" t="s">
        <v>3757</v>
      </c>
      <c r="C103" s="915" t="str">
        <f t="shared" si="1"/>
        <v>7월</v>
      </c>
      <c r="D103" s="916" t="s">
        <v>3740</v>
      </c>
      <c r="E103" s="916"/>
      <c r="F103" s="916" t="s">
        <v>3760</v>
      </c>
      <c r="G103" s="915"/>
      <c r="H103" s="917">
        <v>8000</v>
      </c>
      <c r="I103" s="918"/>
      <c r="J103" s="917">
        <v>193631</v>
      </c>
    </row>
    <row r="104" spans="1:10">
      <c r="A104" t="s">
        <v>3871</v>
      </c>
      <c r="B104" s="915" t="s">
        <v>3761</v>
      </c>
      <c r="C104" s="915" t="str">
        <f t="shared" si="1"/>
        <v>7월</v>
      </c>
      <c r="D104" s="916" t="s">
        <v>3723</v>
      </c>
      <c r="E104" s="916"/>
      <c r="F104" s="916" t="s">
        <v>3762</v>
      </c>
      <c r="G104" s="915"/>
      <c r="H104" s="917">
        <v>57600</v>
      </c>
      <c r="I104" s="918"/>
      <c r="J104" s="917">
        <v>251231</v>
      </c>
    </row>
    <row r="105" spans="1:10">
      <c r="A105" t="s">
        <v>3871</v>
      </c>
      <c r="B105" s="915" t="s">
        <v>3763</v>
      </c>
      <c r="C105" s="915" t="str">
        <f t="shared" si="1"/>
        <v>7월</v>
      </c>
      <c r="D105" s="916" t="s">
        <v>3660</v>
      </c>
      <c r="E105" s="916"/>
      <c r="F105" s="916" t="s">
        <v>3733</v>
      </c>
      <c r="G105" s="915"/>
      <c r="H105" s="917">
        <v>3300</v>
      </c>
      <c r="I105" s="918"/>
      <c r="J105" s="918"/>
    </row>
    <row r="106" spans="1:10">
      <c r="A106" t="s">
        <v>3871</v>
      </c>
      <c r="B106" s="915" t="s">
        <v>3763</v>
      </c>
      <c r="C106" s="915" t="str">
        <f t="shared" si="1"/>
        <v>7월</v>
      </c>
      <c r="D106" s="916" t="s">
        <v>3660</v>
      </c>
      <c r="E106" s="916"/>
      <c r="F106" s="916" t="s">
        <v>3764</v>
      </c>
      <c r="G106" s="915"/>
      <c r="H106" s="917">
        <v>7500</v>
      </c>
      <c r="I106" s="918"/>
      <c r="J106" s="918"/>
    </row>
    <row r="107" spans="1:10">
      <c r="A107" t="s">
        <v>3871</v>
      </c>
      <c r="B107" s="915" t="s">
        <v>3763</v>
      </c>
      <c r="C107" s="915" t="str">
        <f t="shared" si="1"/>
        <v>7월</v>
      </c>
      <c r="D107" s="916" t="s">
        <v>3660</v>
      </c>
      <c r="E107" s="916"/>
      <c r="F107" s="916" t="s">
        <v>3765</v>
      </c>
      <c r="G107" s="915"/>
      <c r="H107" s="917">
        <v>6500</v>
      </c>
      <c r="I107" s="918"/>
      <c r="J107" s="918"/>
    </row>
    <row r="108" spans="1:10">
      <c r="A108" t="s">
        <v>3871</v>
      </c>
      <c r="B108" s="915" t="s">
        <v>3763</v>
      </c>
      <c r="C108" s="915" t="str">
        <f t="shared" si="1"/>
        <v>7월</v>
      </c>
      <c r="D108" s="916" t="s">
        <v>3660</v>
      </c>
      <c r="E108" s="916"/>
      <c r="F108" s="916" t="s">
        <v>3733</v>
      </c>
      <c r="G108" s="915"/>
      <c r="H108" s="917">
        <v>11600</v>
      </c>
      <c r="I108" s="918"/>
      <c r="J108" s="918"/>
    </row>
    <row r="109" spans="1:10">
      <c r="A109" t="s">
        <v>3871</v>
      </c>
      <c r="B109" s="915" t="s">
        <v>3763</v>
      </c>
      <c r="C109" s="915" t="str">
        <f t="shared" si="1"/>
        <v>7월</v>
      </c>
      <c r="D109" s="916" t="s">
        <v>3660</v>
      </c>
      <c r="E109" s="916"/>
      <c r="F109" s="916" t="s">
        <v>3733</v>
      </c>
      <c r="G109" s="915"/>
      <c r="H109" s="917">
        <v>5700</v>
      </c>
      <c r="I109" s="918"/>
      <c r="J109" s="917">
        <v>285831</v>
      </c>
    </row>
    <row r="110" spans="1:10">
      <c r="A110" t="s">
        <v>3871</v>
      </c>
      <c r="B110" s="915" t="s">
        <v>3766</v>
      </c>
      <c r="C110" s="915" t="str">
        <f t="shared" si="1"/>
        <v>7월</v>
      </c>
      <c r="D110" s="916" t="s">
        <v>3641</v>
      </c>
      <c r="E110" s="916"/>
      <c r="F110" s="916" t="s">
        <v>3716</v>
      </c>
      <c r="G110" s="915"/>
      <c r="H110" s="917">
        <v>199000</v>
      </c>
      <c r="I110" s="918"/>
      <c r="J110" s="917">
        <v>484831</v>
      </c>
    </row>
    <row r="111" spans="1:10">
      <c r="A111" t="s">
        <v>3871</v>
      </c>
      <c r="B111" s="915" t="s">
        <v>3767</v>
      </c>
      <c r="C111" s="915" t="str">
        <f t="shared" si="1"/>
        <v>7월</v>
      </c>
      <c r="D111" s="916" t="s">
        <v>3633</v>
      </c>
      <c r="E111" s="916"/>
      <c r="F111" s="916" t="s">
        <v>3768</v>
      </c>
      <c r="G111" s="915"/>
      <c r="H111" s="917">
        <v>11050</v>
      </c>
      <c r="I111" s="918"/>
      <c r="J111" s="918"/>
    </row>
    <row r="112" spans="1:10">
      <c r="A112" t="s">
        <v>3871</v>
      </c>
      <c r="B112" s="915" t="s">
        <v>3767</v>
      </c>
      <c r="C112" s="915" t="str">
        <f t="shared" si="1"/>
        <v>7월</v>
      </c>
      <c r="D112" s="916" t="s">
        <v>3769</v>
      </c>
      <c r="E112" s="916"/>
      <c r="F112" s="916" t="s">
        <v>3610</v>
      </c>
      <c r="G112" s="915"/>
      <c r="H112" s="917">
        <v>18100</v>
      </c>
      <c r="I112" s="918"/>
      <c r="J112" s="918"/>
    </row>
    <row r="113" spans="1:10">
      <c r="A113" t="s">
        <v>3871</v>
      </c>
      <c r="B113" s="915" t="s">
        <v>3767</v>
      </c>
      <c r="C113" s="915" t="str">
        <f t="shared" si="1"/>
        <v>7월</v>
      </c>
      <c r="D113" s="916" t="s">
        <v>3769</v>
      </c>
      <c r="E113" s="916"/>
      <c r="F113" s="916" t="s">
        <v>3770</v>
      </c>
      <c r="G113" s="915"/>
      <c r="H113" s="917">
        <v>18200</v>
      </c>
      <c r="I113" s="918"/>
      <c r="J113" s="918"/>
    </row>
    <row r="114" spans="1:10">
      <c r="A114" t="s">
        <v>3871</v>
      </c>
      <c r="B114" s="915" t="s">
        <v>3767</v>
      </c>
      <c r="C114" s="915" t="str">
        <f t="shared" si="1"/>
        <v>7월</v>
      </c>
      <c r="D114" s="916" t="s">
        <v>3769</v>
      </c>
      <c r="E114" s="916"/>
      <c r="F114" s="916" t="s">
        <v>3610</v>
      </c>
      <c r="G114" s="915"/>
      <c r="H114" s="917">
        <v>39900</v>
      </c>
      <c r="I114" s="918"/>
      <c r="J114" s="917">
        <v>572081</v>
      </c>
    </row>
    <row r="115" spans="1:10">
      <c r="A115" t="s">
        <v>3871</v>
      </c>
      <c r="B115" s="915" t="s">
        <v>3771</v>
      </c>
      <c r="C115" s="915" t="str">
        <f t="shared" si="1"/>
        <v>7월</v>
      </c>
      <c r="D115" s="916" t="s">
        <v>3660</v>
      </c>
      <c r="E115" s="916"/>
      <c r="F115" s="916" t="s">
        <v>3733</v>
      </c>
      <c r="G115" s="915"/>
      <c r="H115" s="917">
        <v>7300</v>
      </c>
      <c r="I115" s="918"/>
      <c r="J115" s="917">
        <v>579381</v>
      </c>
    </row>
    <row r="116" spans="1:10">
      <c r="A116" t="s">
        <v>3871</v>
      </c>
      <c r="B116" s="915" t="s">
        <v>3772</v>
      </c>
      <c r="C116" s="915" t="str">
        <f t="shared" si="1"/>
        <v>7월</v>
      </c>
      <c r="D116" s="916" t="s">
        <v>3773</v>
      </c>
      <c r="E116" s="916"/>
      <c r="F116" s="916" t="s">
        <v>3610</v>
      </c>
      <c r="G116" s="915"/>
      <c r="H116" s="917">
        <v>38700</v>
      </c>
      <c r="I116" s="918"/>
      <c r="J116" s="918"/>
    </row>
    <row r="117" spans="1:10">
      <c r="A117" t="s">
        <v>3871</v>
      </c>
      <c r="B117" s="915" t="s">
        <v>3772</v>
      </c>
      <c r="C117" s="915" t="str">
        <f t="shared" si="1"/>
        <v>7월</v>
      </c>
      <c r="D117" s="916" t="s">
        <v>3641</v>
      </c>
      <c r="E117" s="916"/>
      <c r="F117" s="916" t="s">
        <v>3707</v>
      </c>
      <c r="G117" s="915"/>
      <c r="H117" s="917">
        <v>137500</v>
      </c>
      <c r="I117" s="918"/>
      <c r="J117" s="917">
        <v>755581</v>
      </c>
    </row>
    <row r="118" spans="1:10">
      <c r="A118" t="s">
        <v>3871</v>
      </c>
      <c r="B118" s="915" t="s">
        <v>3774</v>
      </c>
      <c r="C118" s="915" t="str">
        <f t="shared" si="1"/>
        <v>7월</v>
      </c>
      <c r="D118" s="916" t="s">
        <v>3641</v>
      </c>
      <c r="E118" s="916"/>
      <c r="F118" s="916" t="s">
        <v>3775</v>
      </c>
      <c r="G118" s="915"/>
      <c r="H118" s="917">
        <v>32500</v>
      </c>
      <c r="I118" s="918"/>
      <c r="J118" s="917">
        <v>788081</v>
      </c>
    </row>
    <row r="119" spans="1:10">
      <c r="A119" t="s">
        <v>3871</v>
      </c>
      <c r="B119" s="915" t="s">
        <v>3776</v>
      </c>
      <c r="C119" s="915" t="str">
        <f t="shared" si="1"/>
        <v>7월</v>
      </c>
      <c r="D119" s="916" t="s">
        <v>3641</v>
      </c>
      <c r="E119" s="916"/>
      <c r="F119" s="916" t="s">
        <v>3603</v>
      </c>
      <c r="G119" s="915"/>
      <c r="H119" s="917">
        <v>67500</v>
      </c>
      <c r="I119" s="918"/>
      <c r="J119" s="917">
        <v>855581</v>
      </c>
    </row>
    <row r="120" spans="1:10">
      <c r="A120" t="s">
        <v>3871</v>
      </c>
      <c r="B120" s="915" t="s">
        <v>3777</v>
      </c>
      <c r="C120" s="915" t="str">
        <f t="shared" si="1"/>
        <v>8월</v>
      </c>
      <c r="D120" s="916" t="s">
        <v>3660</v>
      </c>
      <c r="E120" s="916"/>
      <c r="F120" s="916" t="s">
        <v>3724</v>
      </c>
      <c r="G120" s="915"/>
      <c r="H120" s="917">
        <v>42000</v>
      </c>
      <c r="I120" s="918"/>
      <c r="J120" s="918"/>
    </row>
    <row r="121" spans="1:10">
      <c r="A121" t="s">
        <v>3871</v>
      </c>
      <c r="B121" s="915" t="s">
        <v>3777</v>
      </c>
      <c r="C121" s="915" t="str">
        <f t="shared" si="1"/>
        <v>8월</v>
      </c>
      <c r="D121" s="916" t="s">
        <v>3641</v>
      </c>
      <c r="E121" s="916"/>
      <c r="F121" s="916" t="s">
        <v>3778</v>
      </c>
      <c r="G121" s="915"/>
      <c r="H121" s="917">
        <v>50000</v>
      </c>
      <c r="I121" s="918"/>
      <c r="J121" s="917">
        <v>947581</v>
      </c>
    </row>
    <row r="122" spans="1:10">
      <c r="A122" t="s">
        <v>3871</v>
      </c>
      <c r="B122" s="915" t="s">
        <v>3779</v>
      </c>
      <c r="C122" s="915" t="str">
        <f t="shared" si="1"/>
        <v>8월</v>
      </c>
      <c r="D122" s="916" t="s">
        <v>3660</v>
      </c>
      <c r="E122" s="916"/>
      <c r="F122" s="916" t="s">
        <v>3780</v>
      </c>
      <c r="G122" s="915"/>
      <c r="H122" s="917">
        <v>7500</v>
      </c>
      <c r="I122" s="918"/>
      <c r="J122" s="918"/>
    </row>
    <row r="123" spans="1:10">
      <c r="A123" t="s">
        <v>3871</v>
      </c>
      <c r="B123" s="915" t="s">
        <v>3779</v>
      </c>
      <c r="C123" s="915" t="str">
        <f t="shared" si="1"/>
        <v>8월</v>
      </c>
      <c r="D123" s="916" t="s">
        <v>3660</v>
      </c>
      <c r="E123" s="916"/>
      <c r="F123" s="916" t="s">
        <v>3733</v>
      </c>
      <c r="G123" s="915"/>
      <c r="H123" s="917">
        <v>4200</v>
      </c>
      <c r="I123" s="918"/>
      <c r="J123" s="918"/>
    </row>
    <row r="124" spans="1:10">
      <c r="A124" t="s">
        <v>3871</v>
      </c>
      <c r="B124" s="915" t="s">
        <v>3779</v>
      </c>
      <c r="C124" s="915" t="str">
        <f t="shared" si="1"/>
        <v>8월</v>
      </c>
      <c r="D124" s="916" t="s">
        <v>3660</v>
      </c>
      <c r="E124" s="916"/>
      <c r="F124" s="916" t="s">
        <v>3781</v>
      </c>
      <c r="G124" s="915"/>
      <c r="H124" s="917">
        <v>7900</v>
      </c>
      <c r="I124" s="918"/>
      <c r="J124" s="918"/>
    </row>
    <row r="125" spans="1:10">
      <c r="A125" t="s">
        <v>3871</v>
      </c>
      <c r="B125" s="915" t="s">
        <v>3779</v>
      </c>
      <c r="C125" s="915" t="str">
        <f t="shared" si="1"/>
        <v>8월</v>
      </c>
      <c r="D125" s="916" t="s">
        <v>3660</v>
      </c>
      <c r="E125" s="916"/>
      <c r="F125" s="916" t="s">
        <v>3733</v>
      </c>
      <c r="G125" s="915"/>
      <c r="H125" s="917">
        <v>11000</v>
      </c>
      <c r="I125" s="918"/>
      <c r="J125" s="918"/>
    </row>
    <row r="126" spans="1:10">
      <c r="A126" t="s">
        <v>3871</v>
      </c>
      <c r="B126" s="915" t="s">
        <v>3779</v>
      </c>
      <c r="C126" s="915" t="str">
        <f t="shared" si="1"/>
        <v>8월</v>
      </c>
      <c r="D126" s="916" t="s">
        <v>3660</v>
      </c>
      <c r="E126" s="916"/>
      <c r="F126" s="916" t="s">
        <v>3782</v>
      </c>
      <c r="G126" s="915"/>
      <c r="H126" s="917">
        <v>6900</v>
      </c>
      <c r="I126" s="918"/>
      <c r="J126" s="918"/>
    </row>
    <row r="127" spans="1:10">
      <c r="A127" t="s">
        <v>3871</v>
      </c>
      <c r="B127" s="915" t="s">
        <v>3779</v>
      </c>
      <c r="C127" s="915" t="str">
        <f t="shared" si="1"/>
        <v>8월</v>
      </c>
      <c r="D127" s="916" t="s">
        <v>3660</v>
      </c>
      <c r="E127" s="916"/>
      <c r="F127" s="916" t="s">
        <v>3733</v>
      </c>
      <c r="G127" s="915"/>
      <c r="H127" s="917">
        <v>4500</v>
      </c>
      <c r="I127" s="918"/>
      <c r="J127" s="918"/>
    </row>
    <row r="128" spans="1:10">
      <c r="A128" t="s">
        <v>3871</v>
      </c>
      <c r="B128" s="915" t="s">
        <v>3779</v>
      </c>
      <c r="C128" s="915" t="str">
        <f t="shared" si="1"/>
        <v>8월</v>
      </c>
      <c r="D128" s="916" t="s">
        <v>3660</v>
      </c>
      <c r="E128" s="916"/>
      <c r="F128" s="916" t="s">
        <v>3733</v>
      </c>
      <c r="G128" s="915"/>
      <c r="H128" s="917">
        <v>6100</v>
      </c>
      <c r="I128" s="918"/>
      <c r="J128" s="918"/>
    </row>
    <row r="129" spans="1:10">
      <c r="A129" t="s">
        <v>3871</v>
      </c>
      <c r="B129" s="915" t="s">
        <v>3779</v>
      </c>
      <c r="C129" s="915" t="str">
        <f t="shared" si="1"/>
        <v>8월</v>
      </c>
      <c r="D129" s="916" t="s">
        <v>3660</v>
      </c>
      <c r="E129" s="916"/>
      <c r="F129" s="916" t="s">
        <v>3733</v>
      </c>
      <c r="G129" s="915"/>
      <c r="H129" s="917">
        <v>15500</v>
      </c>
      <c r="I129" s="918"/>
      <c r="J129" s="918"/>
    </row>
    <row r="130" spans="1:10">
      <c r="A130" t="s">
        <v>3871</v>
      </c>
      <c r="B130" s="915" t="s">
        <v>3779</v>
      </c>
      <c r="C130" s="915" t="str">
        <f t="shared" si="1"/>
        <v>8월</v>
      </c>
      <c r="D130" s="916" t="s">
        <v>3660</v>
      </c>
      <c r="E130" s="916"/>
      <c r="F130" s="916" t="s">
        <v>3733</v>
      </c>
      <c r="G130" s="915"/>
      <c r="H130" s="917">
        <v>12000</v>
      </c>
      <c r="I130" s="918"/>
      <c r="J130" s="918"/>
    </row>
    <row r="131" spans="1:10">
      <c r="A131" t="s">
        <v>3871</v>
      </c>
      <c r="B131" s="915" t="s">
        <v>3779</v>
      </c>
      <c r="C131" s="915" t="str">
        <f t="shared" ref="C131:C194" si="2">MONTH(B131)&amp;"월"</f>
        <v>8월</v>
      </c>
      <c r="D131" s="916" t="s">
        <v>3660</v>
      </c>
      <c r="E131" s="916"/>
      <c r="F131" s="916" t="s">
        <v>3733</v>
      </c>
      <c r="G131" s="915"/>
      <c r="H131" s="917">
        <v>16400</v>
      </c>
      <c r="I131" s="918"/>
      <c r="J131" s="918"/>
    </row>
    <row r="132" spans="1:10">
      <c r="A132" t="s">
        <v>3871</v>
      </c>
      <c r="B132" s="915" t="s">
        <v>3779</v>
      </c>
      <c r="C132" s="915" t="str">
        <f t="shared" si="2"/>
        <v>8월</v>
      </c>
      <c r="D132" s="916" t="s">
        <v>3660</v>
      </c>
      <c r="E132" s="916"/>
      <c r="F132" s="916" t="s">
        <v>3783</v>
      </c>
      <c r="G132" s="915"/>
      <c r="H132" s="917">
        <v>8600</v>
      </c>
      <c r="I132" s="918"/>
      <c r="J132" s="918"/>
    </row>
    <row r="133" spans="1:10">
      <c r="A133" t="s">
        <v>3871</v>
      </c>
      <c r="B133" s="915" t="s">
        <v>3779</v>
      </c>
      <c r="C133" s="915" t="str">
        <f t="shared" si="2"/>
        <v>8월</v>
      </c>
      <c r="D133" s="916" t="s">
        <v>3660</v>
      </c>
      <c r="E133" s="916"/>
      <c r="F133" s="916" t="s">
        <v>3679</v>
      </c>
      <c r="G133" s="915"/>
      <c r="H133" s="917">
        <v>38000</v>
      </c>
      <c r="I133" s="918"/>
      <c r="J133" s="918"/>
    </row>
    <row r="134" spans="1:10">
      <c r="A134" t="s">
        <v>3871</v>
      </c>
      <c r="B134" s="915" t="s">
        <v>3779</v>
      </c>
      <c r="C134" s="915" t="str">
        <f t="shared" si="2"/>
        <v>8월</v>
      </c>
      <c r="D134" s="916" t="s">
        <v>3660</v>
      </c>
      <c r="E134" s="916"/>
      <c r="F134" s="916" t="s">
        <v>3726</v>
      </c>
      <c r="G134" s="915"/>
      <c r="H134" s="917">
        <v>2500</v>
      </c>
      <c r="I134" s="918"/>
      <c r="J134" s="918"/>
    </row>
    <row r="135" spans="1:10">
      <c r="A135" t="s">
        <v>3871</v>
      </c>
      <c r="B135" s="915" t="s">
        <v>3779</v>
      </c>
      <c r="C135" s="915" t="str">
        <f t="shared" si="2"/>
        <v>8월</v>
      </c>
      <c r="D135" s="916" t="s">
        <v>3660</v>
      </c>
      <c r="E135" s="916"/>
      <c r="F135" s="916" t="s">
        <v>3726</v>
      </c>
      <c r="G135" s="915"/>
      <c r="H135" s="917">
        <v>12800</v>
      </c>
      <c r="I135" s="918"/>
      <c r="J135" s="918"/>
    </row>
    <row r="136" spans="1:10">
      <c r="A136" t="s">
        <v>3871</v>
      </c>
      <c r="B136" s="915" t="s">
        <v>3779</v>
      </c>
      <c r="C136" s="915" t="str">
        <f t="shared" si="2"/>
        <v>8월</v>
      </c>
      <c r="D136" s="916" t="s">
        <v>3660</v>
      </c>
      <c r="E136" s="916"/>
      <c r="F136" s="916" t="s">
        <v>3784</v>
      </c>
      <c r="G136" s="915"/>
      <c r="H136" s="917">
        <v>45000</v>
      </c>
      <c r="I136" s="918"/>
      <c r="J136" s="917">
        <v>1146481</v>
      </c>
    </row>
    <row r="137" spans="1:10">
      <c r="A137" t="s">
        <v>3871</v>
      </c>
      <c r="B137" s="915" t="s">
        <v>3785</v>
      </c>
      <c r="C137" s="915" t="str">
        <f t="shared" si="2"/>
        <v>9월</v>
      </c>
      <c r="D137" s="916" t="s">
        <v>3641</v>
      </c>
      <c r="E137" s="916"/>
      <c r="F137" s="916" t="s">
        <v>3786</v>
      </c>
      <c r="G137" s="915"/>
      <c r="H137" s="917">
        <v>23100</v>
      </c>
      <c r="I137" s="918"/>
      <c r="J137" s="917">
        <v>1169581</v>
      </c>
    </row>
    <row r="138" spans="1:10">
      <c r="A138" t="s">
        <v>3871</v>
      </c>
      <c r="B138" s="915" t="s">
        <v>3787</v>
      </c>
      <c r="C138" s="915" t="str">
        <f t="shared" si="2"/>
        <v>9월</v>
      </c>
      <c r="D138" s="916" t="s">
        <v>3641</v>
      </c>
      <c r="E138" s="916"/>
      <c r="F138" s="916" t="s">
        <v>3626</v>
      </c>
      <c r="G138" s="915"/>
      <c r="H138" s="917">
        <v>98000</v>
      </c>
      <c r="I138" s="918"/>
      <c r="J138" s="917">
        <v>1267581</v>
      </c>
    </row>
    <row r="139" spans="1:10">
      <c r="A139" t="s">
        <v>3871</v>
      </c>
      <c r="B139" s="915" t="s">
        <v>3788</v>
      </c>
      <c r="C139" s="915" t="str">
        <f t="shared" si="2"/>
        <v>9월</v>
      </c>
      <c r="D139" s="916" t="s">
        <v>3789</v>
      </c>
      <c r="E139" s="916"/>
      <c r="F139" s="916" t="s">
        <v>3790</v>
      </c>
      <c r="G139" s="915"/>
      <c r="H139" s="917">
        <v>10000</v>
      </c>
      <c r="I139" s="918"/>
      <c r="J139" s="918"/>
    </row>
    <row r="140" spans="1:10">
      <c r="A140" t="s">
        <v>3871</v>
      </c>
      <c r="B140" s="915" t="s">
        <v>3788</v>
      </c>
      <c r="C140" s="915" t="str">
        <f t="shared" si="2"/>
        <v>9월</v>
      </c>
      <c r="D140" s="916" t="s">
        <v>3789</v>
      </c>
      <c r="E140" s="916"/>
      <c r="F140" s="916" t="s">
        <v>3791</v>
      </c>
      <c r="G140" s="915"/>
      <c r="H140" s="917">
        <v>13000</v>
      </c>
      <c r="I140" s="918"/>
      <c r="J140" s="918"/>
    </row>
    <row r="141" spans="1:10">
      <c r="A141" t="s">
        <v>3871</v>
      </c>
      <c r="B141" s="915" t="s">
        <v>3788</v>
      </c>
      <c r="C141" s="915" t="str">
        <f t="shared" si="2"/>
        <v>9월</v>
      </c>
      <c r="D141" s="916" t="s">
        <v>3789</v>
      </c>
      <c r="E141" s="916"/>
      <c r="F141" s="916" t="s">
        <v>3792</v>
      </c>
      <c r="G141" s="915"/>
      <c r="H141" s="917">
        <v>8800</v>
      </c>
      <c r="I141" s="918"/>
      <c r="J141" s="918"/>
    </row>
    <row r="142" spans="1:10">
      <c r="A142" t="s">
        <v>3871</v>
      </c>
      <c r="B142" s="915" t="s">
        <v>3788</v>
      </c>
      <c r="C142" s="915" t="str">
        <f t="shared" si="2"/>
        <v>9월</v>
      </c>
      <c r="D142" s="916" t="s">
        <v>3703</v>
      </c>
      <c r="E142" s="916"/>
      <c r="F142" s="916" t="s">
        <v>3793</v>
      </c>
      <c r="G142" s="915"/>
      <c r="H142" s="917">
        <v>79200</v>
      </c>
      <c r="I142" s="918"/>
      <c r="J142" s="918"/>
    </row>
    <row r="143" spans="1:10">
      <c r="A143" t="s">
        <v>3871</v>
      </c>
      <c r="B143" s="915" t="s">
        <v>3788</v>
      </c>
      <c r="C143" s="915" t="str">
        <f t="shared" si="2"/>
        <v>9월</v>
      </c>
      <c r="D143" s="916" t="s">
        <v>3703</v>
      </c>
      <c r="E143" s="916"/>
      <c r="F143" s="916" t="s">
        <v>3794</v>
      </c>
      <c r="G143" s="915"/>
      <c r="H143" s="917">
        <v>14300</v>
      </c>
      <c r="I143" s="918"/>
      <c r="J143" s="917">
        <v>1392881</v>
      </c>
    </row>
    <row r="144" spans="1:10">
      <c r="A144" t="s">
        <v>3871</v>
      </c>
      <c r="B144" s="915" t="s">
        <v>3795</v>
      </c>
      <c r="C144" s="915" t="str">
        <f t="shared" si="2"/>
        <v>9월</v>
      </c>
      <c r="D144" s="916" t="s">
        <v>3796</v>
      </c>
      <c r="E144" s="916"/>
      <c r="F144" s="916" t="s">
        <v>3610</v>
      </c>
      <c r="G144" s="915"/>
      <c r="H144" s="917">
        <v>18200</v>
      </c>
      <c r="I144" s="918"/>
      <c r="J144" s="918"/>
    </row>
    <row r="145" spans="1:10">
      <c r="A145" t="s">
        <v>3871</v>
      </c>
      <c r="B145" s="915" t="s">
        <v>3795</v>
      </c>
      <c r="C145" s="915" t="str">
        <f t="shared" si="2"/>
        <v>9월</v>
      </c>
      <c r="D145" s="916" t="s">
        <v>3797</v>
      </c>
      <c r="E145" s="916"/>
      <c r="F145" s="916" t="s">
        <v>3798</v>
      </c>
      <c r="G145" s="915"/>
      <c r="H145" s="917">
        <v>48000</v>
      </c>
      <c r="I145" s="918"/>
      <c r="J145" s="917">
        <v>1459081</v>
      </c>
    </row>
    <row r="146" spans="1:10">
      <c r="A146" t="s">
        <v>3871</v>
      </c>
      <c r="B146" s="915" t="s">
        <v>3799</v>
      </c>
      <c r="C146" s="915" t="str">
        <f t="shared" si="2"/>
        <v>9월</v>
      </c>
      <c r="D146" s="916" t="s">
        <v>3660</v>
      </c>
      <c r="E146" s="916"/>
      <c r="F146" s="916" t="s">
        <v>3800</v>
      </c>
      <c r="G146" s="915"/>
      <c r="H146" s="917">
        <v>57000</v>
      </c>
      <c r="I146" s="918"/>
      <c r="J146" s="917">
        <v>1516081</v>
      </c>
    </row>
    <row r="147" spans="1:10">
      <c r="A147" t="s">
        <v>3871</v>
      </c>
      <c r="B147" s="915" t="s">
        <v>3801</v>
      </c>
      <c r="C147" s="915" t="str">
        <f t="shared" si="2"/>
        <v>9월</v>
      </c>
      <c r="D147" s="916" t="s">
        <v>3660</v>
      </c>
      <c r="E147" s="916"/>
      <c r="F147" s="916" t="s">
        <v>3802</v>
      </c>
      <c r="G147" s="915"/>
      <c r="H147" s="917">
        <v>42500</v>
      </c>
      <c r="I147" s="918"/>
      <c r="J147" s="917">
        <v>1558581</v>
      </c>
    </row>
    <row r="148" spans="1:10">
      <c r="A148" t="s">
        <v>3871</v>
      </c>
      <c r="B148" s="915" t="s">
        <v>3616</v>
      </c>
      <c r="C148" s="915" t="str">
        <f t="shared" si="2"/>
        <v>9월</v>
      </c>
      <c r="D148" s="916" t="s">
        <v>3803</v>
      </c>
      <c r="E148" s="916"/>
      <c r="F148" s="916" t="s">
        <v>3804</v>
      </c>
      <c r="G148" s="915"/>
      <c r="H148" s="917">
        <v>35200</v>
      </c>
      <c r="I148" s="918"/>
      <c r="J148" s="918"/>
    </row>
    <row r="149" spans="1:10">
      <c r="A149" t="s">
        <v>3871</v>
      </c>
      <c r="B149" s="915" t="s">
        <v>3616</v>
      </c>
      <c r="C149" s="915" t="str">
        <f t="shared" si="2"/>
        <v>9월</v>
      </c>
      <c r="D149" s="916" t="s">
        <v>3803</v>
      </c>
      <c r="E149" s="916"/>
      <c r="F149" s="916" t="s">
        <v>3805</v>
      </c>
      <c r="G149" s="915"/>
      <c r="H149" s="917">
        <v>72100</v>
      </c>
      <c r="I149" s="918"/>
      <c r="J149" s="918"/>
    </row>
    <row r="150" spans="1:10">
      <c r="A150" t="s">
        <v>3871</v>
      </c>
      <c r="B150" s="915" t="s">
        <v>3616</v>
      </c>
      <c r="C150" s="915" t="str">
        <f t="shared" si="2"/>
        <v>9월</v>
      </c>
      <c r="D150" s="916" t="s">
        <v>3641</v>
      </c>
      <c r="E150" s="916"/>
      <c r="F150" s="916" t="s">
        <v>3610</v>
      </c>
      <c r="G150" s="915"/>
      <c r="H150" s="917">
        <v>10500</v>
      </c>
      <c r="I150" s="918"/>
      <c r="J150" s="917">
        <v>1676381</v>
      </c>
    </row>
    <row r="151" spans="1:10">
      <c r="A151" t="s">
        <v>3871</v>
      </c>
      <c r="B151" s="915" t="s">
        <v>3806</v>
      </c>
      <c r="C151" s="915" t="str">
        <f t="shared" si="2"/>
        <v>9월</v>
      </c>
      <c r="D151" s="916" t="s">
        <v>3660</v>
      </c>
      <c r="E151" s="916"/>
      <c r="F151" s="916" t="s">
        <v>3770</v>
      </c>
      <c r="G151" s="915"/>
      <c r="H151" s="917">
        <v>5500</v>
      </c>
      <c r="I151" s="918"/>
      <c r="J151" s="917">
        <v>1681881</v>
      </c>
    </row>
    <row r="152" spans="1:10">
      <c r="A152" t="s">
        <v>3871</v>
      </c>
      <c r="B152" s="915" t="s">
        <v>3807</v>
      </c>
      <c r="C152" s="915" t="str">
        <f t="shared" si="2"/>
        <v>10월</v>
      </c>
      <c r="D152" s="916" t="s">
        <v>3808</v>
      </c>
      <c r="E152" s="916"/>
      <c r="F152" s="916" t="s">
        <v>3809</v>
      </c>
      <c r="G152" s="915"/>
      <c r="H152" s="917">
        <v>17100</v>
      </c>
      <c r="I152" s="918"/>
      <c r="J152" s="918"/>
    </row>
    <row r="153" spans="1:10">
      <c r="A153" t="s">
        <v>3871</v>
      </c>
      <c r="B153" s="915" t="s">
        <v>3807</v>
      </c>
      <c r="C153" s="915" t="str">
        <f t="shared" si="2"/>
        <v>10월</v>
      </c>
      <c r="D153" s="916" t="s">
        <v>3703</v>
      </c>
      <c r="E153" s="916"/>
      <c r="F153" s="916" t="s">
        <v>3802</v>
      </c>
      <c r="G153" s="915"/>
      <c r="H153" s="917">
        <v>40500</v>
      </c>
      <c r="I153" s="918"/>
      <c r="J153" s="918"/>
    </row>
    <row r="154" spans="1:10">
      <c r="A154" t="s">
        <v>3871</v>
      </c>
      <c r="B154" s="915" t="s">
        <v>3807</v>
      </c>
      <c r="C154" s="915" t="str">
        <f t="shared" si="2"/>
        <v>10월</v>
      </c>
      <c r="D154" s="916" t="s">
        <v>3703</v>
      </c>
      <c r="E154" s="916"/>
      <c r="F154" s="916" t="s">
        <v>3810</v>
      </c>
      <c r="G154" s="915"/>
      <c r="H154" s="917">
        <v>10800</v>
      </c>
      <c r="I154" s="918"/>
      <c r="J154" s="917">
        <v>1750281</v>
      </c>
    </row>
    <row r="155" spans="1:10">
      <c r="A155" t="s">
        <v>3871</v>
      </c>
      <c r="B155" s="915" t="s">
        <v>3811</v>
      </c>
      <c r="C155" s="915" t="str">
        <f t="shared" si="2"/>
        <v>10월</v>
      </c>
      <c r="D155" s="916" t="s">
        <v>3812</v>
      </c>
      <c r="E155" s="916"/>
      <c r="F155" s="916" t="s">
        <v>3813</v>
      </c>
      <c r="G155" s="915"/>
      <c r="H155" s="917">
        <v>12000</v>
      </c>
      <c r="I155" s="918"/>
      <c r="J155" s="918"/>
    </row>
    <row r="156" spans="1:10">
      <c r="A156" t="s">
        <v>3871</v>
      </c>
      <c r="B156" s="915" t="s">
        <v>3811</v>
      </c>
      <c r="C156" s="915" t="str">
        <f t="shared" si="2"/>
        <v>10월</v>
      </c>
      <c r="D156" s="916" t="s">
        <v>3812</v>
      </c>
      <c r="E156" s="916"/>
      <c r="F156" s="916" t="s">
        <v>3814</v>
      </c>
      <c r="G156" s="915"/>
      <c r="H156" s="917">
        <v>10000</v>
      </c>
      <c r="I156" s="918"/>
      <c r="J156" s="917">
        <v>1772281</v>
      </c>
    </row>
    <row r="157" spans="1:10">
      <c r="A157" t="s">
        <v>3871</v>
      </c>
      <c r="B157" s="915" t="s">
        <v>3815</v>
      </c>
      <c r="C157" s="915" t="str">
        <f t="shared" si="2"/>
        <v>10월</v>
      </c>
      <c r="D157" s="916" t="s">
        <v>3660</v>
      </c>
      <c r="E157" s="916"/>
      <c r="F157" s="916" t="s">
        <v>3816</v>
      </c>
      <c r="G157" s="915"/>
      <c r="H157" s="917">
        <v>10000</v>
      </c>
      <c r="I157" s="918"/>
      <c r="J157" s="917">
        <v>1782281</v>
      </c>
    </row>
    <row r="158" spans="1:10" ht="22.5">
      <c r="A158" t="s">
        <v>3871</v>
      </c>
      <c r="B158" s="915" t="s">
        <v>3817</v>
      </c>
      <c r="C158" s="915" t="str">
        <f t="shared" si="2"/>
        <v>10월</v>
      </c>
      <c r="D158" s="916" t="s">
        <v>3818</v>
      </c>
      <c r="E158" s="916"/>
      <c r="F158" s="916"/>
      <c r="G158" s="915"/>
      <c r="H158" s="917">
        <v>-38000</v>
      </c>
      <c r="I158" s="918"/>
      <c r="J158" s="917">
        <v>1744281</v>
      </c>
    </row>
    <row r="159" spans="1:10">
      <c r="A159" t="s">
        <v>3871</v>
      </c>
      <c r="B159" s="915" t="s">
        <v>3819</v>
      </c>
      <c r="C159" s="915" t="str">
        <f t="shared" si="2"/>
        <v>10월</v>
      </c>
      <c r="D159" s="916" t="s">
        <v>3660</v>
      </c>
      <c r="E159" s="916"/>
      <c r="F159" s="916" t="s">
        <v>3820</v>
      </c>
      <c r="G159" s="915"/>
      <c r="H159" s="917">
        <v>5700</v>
      </c>
      <c r="I159" s="918"/>
      <c r="J159" s="918"/>
    </row>
    <row r="160" spans="1:10">
      <c r="A160" t="s">
        <v>3871</v>
      </c>
      <c r="B160" s="915" t="s">
        <v>3819</v>
      </c>
      <c r="C160" s="915" t="str">
        <f t="shared" si="2"/>
        <v>10월</v>
      </c>
      <c r="D160" s="916" t="s">
        <v>3660</v>
      </c>
      <c r="E160" s="916"/>
      <c r="F160" s="916" t="s">
        <v>3821</v>
      </c>
      <c r="G160" s="915"/>
      <c r="H160" s="917">
        <v>7200</v>
      </c>
      <c r="I160" s="918"/>
      <c r="J160" s="918"/>
    </row>
    <row r="161" spans="1:10">
      <c r="A161" t="s">
        <v>3871</v>
      </c>
      <c r="B161" s="915" t="s">
        <v>3819</v>
      </c>
      <c r="C161" s="915" t="str">
        <f t="shared" si="2"/>
        <v>10월</v>
      </c>
      <c r="D161" s="916" t="s">
        <v>3660</v>
      </c>
      <c r="E161" s="916"/>
      <c r="F161" s="916" t="s">
        <v>3733</v>
      </c>
      <c r="G161" s="915"/>
      <c r="H161" s="917">
        <v>5900</v>
      </c>
      <c r="I161" s="918"/>
      <c r="J161" s="918"/>
    </row>
    <row r="162" spans="1:10">
      <c r="A162" t="s">
        <v>3871</v>
      </c>
      <c r="B162" s="915" t="s">
        <v>3819</v>
      </c>
      <c r="C162" s="915" t="str">
        <f t="shared" si="2"/>
        <v>10월</v>
      </c>
      <c r="D162" s="916" t="s">
        <v>3660</v>
      </c>
      <c r="E162" s="916"/>
      <c r="F162" s="916" t="s">
        <v>3733</v>
      </c>
      <c r="G162" s="915"/>
      <c r="H162" s="917">
        <v>5100</v>
      </c>
      <c r="I162" s="918"/>
      <c r="J162" s="918"/>
    </row>
    <row r="163" spans="1:10">
      <c r="A163" t="s">
        <v>3871</v>
      </c>
      <c r="B163" s="915" t="s">
        <v>3819</v>
      </c>
      <c r="C163" s="915" t="str">
        <f t="shared" si="2"/>
        <v>10월</v>
      </c>
      <c r="D163" s="916" t="s">
        <v>3660</v>
      </c>
      <c r="E163" s="916"/>
      <c r="F163" s="916" t="s">
        <v>3822</v>
      </c>
      <c r="G163" s="915"/>
      <c r="H163" s="917">
        <v>22000</v>
      </c>
      <c r="I163" s="918"/>
      <c r="J163" s="918"/>
    </row>
    <row r="164" spans="1:10">
      <c r="A164" t="s">
        <v>3871</v>
      </c>
      <c r="B164" s="915" t="s">
        <v>3819</v>
      </c>
      <c r="C164" s="915" t="str">
        <f t="shared" si="2"/>
        <v>10월</v>
      </c>
      <c r="D164" s="916" t="s">
        <v>3660</v>
      </c>
      <c r="E164" s="916"/>
      <c r="F164" s="916" t="s">
        <v>3823</v>
      </c>
      <c r="G164" s="915"/>
      <c r="H164" s="917">
        <v>6600</v>
      </c>
      <c r="I164" s="918"/>
      <c r="J164" s="918"/>
    </row>
    <row r="165" spans="1:10">
      <c r="A165" t="s">
        <v>3871</v>
      </c>
      <c r="B165" s="915" t="s">
        <v>3819</v>
      </c>
      <c r="C165" s="915" t="str">
        <f t="shared" si="2"/>
        <v>10월</v>
      </c>
      <c r="D165" s="916" t="s">
        <v>3660</v>
      </c>
      <c r="E165" s="916"/>
      <c r="F165" s="916" t="s">
        <v>3821</v>
      </c>
      <c r="G165" s="915"/>
      <c r="H165" s="917">
        <v>5400</v>
      </c>
      <c r="I165" s="918"/>
      <c r="J165" s="918"/>
    </row>
    <row r="166" spans="1:10">
      <c r="A166" t="s">
        <v>3871</v>
      </c>
      <c r="B166" s="915" t="s">
        <v>3819</v>
      </c>
      <c r="C166" s="915" t="str">
        <f t="shared" si="2"/>
        <v>10월</v>
      </c>
      <c r="D166" s="916" t="s">
        <v>3660</v>
      </c>
      <c r="E166" s="916"/>
      <c r="F166" s="916" t="s">
        <v>3733</v>
      </c>
      <c r="G166" s="915"/>
      <c r="H166" s="917">
        <v>6200</v>
      </c>
      <c r="I166" s="918"/>
      <c r="J166" s="917">
        <v>1808381</v>
      </c>
    </row>
    <row r="167" spans="1:10">
      <c r="A167" t="s">
        <v>3871</v>
      </c>
      <c r="B167" s="915" t="s">
        <v>3824</v>
      </c>
      <c r="C167" s="915" t="str">
        <f t="shared" si="2"/>
        <v>10월</v>
      </c>
      <c r="D167" s="916" t="s">
        <v>3641</v>
      </c>
      <c r="E167" s="916"/>
      <c r="F167" s="916" t="s">
        <v>3825</v>
      </c>
      <c r="G167" s="915"/>
      <c r="H167" s="917">
        <v>40000</v>
      </c>
      <c r="I167" s="918"/>
      <c r="J167" s="917">
        <v>1848381</v>
      </c>
    </row>
    <row r="168" spans="1:10">
      <c r="A168" t="s">
        <v>3871</v>
      </c>
      <c r="B168" s="915" t="s">
        <v>3826</v>
      </c>
      <c r="C168" s="915" t="str">
        <f t="shared" si="2"/>
        <v>11월</v>
      </c>
      <c r="D168" s="916" t="s">
        <v>3660</v>
      </c>
      <c r="E168" s="916"/>
      <c r="F168" s="916" t="s">
        <v>3827</v>
      </c>
      <c r="G168" s="915"/>
      <c r="H168" s="917">
        <v>6100</v>
      </c>
      <c r="I168" s="918"/>
      <c r="J168" s="917">
        <v>1854481</v>
      </c>
    </row>
    <row r="169" spans="1:10">
      <c r="A169" t="s">
        <v>3871</v>
      </c>
      <c r="B169" s="915" t="s">
        <v>3828</v>
      </c>
      <c r="C169" s="915" t="str">
        <f t="shared" si="2"/>
        <v>11월</v>
      </c>
      <c r="D169" s="916" t="s">
        <v>3703</v>
      </c>
      <c r="E169" s="916"/>
      <c r="F169" s="916" t="s">
        <v>3810</v>
      </c>
      <c r="G169" s="915"/>
      <c r="H169" s="917">
        <v>8000</v>
      </c>
      <c r="I169" s="918"/>
      <c r="J169" s="917">
        <v>1862481</v>
      </c>
    </row>
    <row r="170" spans="1:10">
      <c r="A170" t="s">
        <v>3871</v>
      </c>
      <c r="B170" s="915" t="s">
        <v>3829</v>
      </c>
      <c r="C170" s="915" t="str">
        <f t="shared" si="2"/>
        <v>11월</v>
      </c>
      <c r="D170" s="916" t="s">
        <v>3660</v>
      </c>
      <c r="E170" s="916"/>
      <c r="F170" s="916" t="s">
        <v>3830</v>
      </c>
      <c r="G170" s="915"/>
      <c r="H170" s="917">
        <v>22000</v>
      </c>
      <c r="I170" s="918"/>
      <c r="J170" s="918"/>
    </row>
    <row r="171" spans="1:10">
      <c r="A171" t="s">
        <v>3871</v>
      </c>
      <c r="B171" s="915" t="s">
        <v>3829</v>
      </c>
      <c r="C171" s="915" t="str">
        <f t="shared" si="2"/>
        <v>11월</v>
      </c>
      <c r="D171" s="916" t="s">
        <v>3660</v>
      </c>
      <c r="E171" s="916"/>
      <c r="F171" s="916" t="s">
        <v>3831</v>
      </c>
      <c r="G171" s="915"/>
      <c r="H171" s="917">
        <v>9100</v>
      </c>
      <c r="I171" s="918"/>
      <c r="J171" s="918"/>
    </row>
    <row r="172" spans="1:10">
      <c r="A172" t="s">
        <v>3871</v>
      </c>
      <c r="B172" s="915" t="s">
        <v>3829</v>
      </c>
      <c r="C172" s="915" t="str">
        <f t="shared" si="2"/>
        <v>11월</v>
      </c>
      <c r="D172" s="916" t="s">
        <v>3660</v>
      </c>
      <c r="E172" s="916"/>
      <c r="F172" s="916" t="s">
        <v>3733</v>
      </c>
      <c r="G172" s="915"/>
      <c r="H172" s="917">
        <v>6700</v>
      </c>
      <c r="I172" s="918"/>
      <c r="J172" s="918"/>
    </row>
    <row r="173" spans="1:10">
      <c r="A173" t="s">
        <v>3871</v>
      </c>
      <c r="B173" s="915" t="s">
        <v>3829</v>
      </c>
      <c r="C173" s="915" t="str">
        <f t="shared" si="2"/>
        <v>11월</v>
      </c>
      <c r="D173" s="916" t="s">
        <v>3660</v>
      </c>
      <c r="E173" s="916"/>
      <c r="F173" s="916" t="s">
        <v>3733</v>
      </c>
      <c r="G173" s="915"/>
      <c r="H173" s="917">
        <v>5700</v>
      </c>
      <c r="I173" s="918"/>
      <c r="J173" s="918"/>
    </row>
    <row r="174" spans="1:10">
      <c r="A174" t="s">
        <v>3871</v>
      </c>
      <c r="B174" s="915" t="s">
        <v>3829</v>
      </c>
      <c r="C174" s="915" t="str">
        <f t="shared" si="2"/>
        <v>11월</v>
      </c>
      <c r="D174" s="916" t="s">
        <v>3660</v>
      </c>
      <c r="E174" s="916"/>
      <c r="F174" s="916" t="s">
        <v>3733</v>
      </c>
      <c r="G174" s="915"/>
      <c r="H174" s="917">
        <v>4900</v>
      </c>
      <c r="I174" s="918"/>
      <c r="J174" s="918"/>
    </row>
    <row r="175" spans="1:10">
      <c r="A175" t="s">
        <v>3871</v>
      </c>
      <c r="B175" s="915" t="s">
        <v>3829</v>
      </c>
      <c r="C175" s="915" t="str">
        <f t="shared" si="2"/>
        <v>11월</v>
      </c>
      <c r="D175" s="916" t="s">
        <v>3660</v>
      </c>
      <c r="E175" s="916"/>
      <c r="F175" s="916" t="s">
        <v>3733</v>
      </c>
      <c r="G175" s="915"/>
      <c r="H175" s="917">
        <v>5100</v>
      </c>
      <c r="I175" s="918"/>
      <c r="J175" s="918"/>
    </row>
    <row r="176" spans="1:10">
      <c r="A176" t="s">
        <v>3871</v>
      </c>
      <c r="B176" s="915" t="s">
        <v>3829</v>
      </c>
      <c r="C176" s="915" t="str">
        <f t="shared" si="2"/>
        <v>11월</v>
      </c>
      <c r="D176" s="916" t="s">
        <v>3660</v>
      </c>
      <c r="E176" s="916"/>
      <c r="F176" s="916" t="s">
        <v>3832</v>
      </c>
      <c r="G176" s="915"/>
      <c r="H176" s="917">
        <v>7200</v>
      </c>
      <c r="I176" s="918"/>
      <c r="J176" s="918"/>
    </row>
    <row r="177" spans="1:10">
      <c r="A177" t="s">
        <v>3871</v>
      </c>
      <c r="B177" s="915" t="s">
        <v>3829</v>
      </c>
      <c r="C177" s="915" t="str">
        <f t="shared" si="2"/>
        <v>11월</v>
      </c>
      <c r="D177" s="916" t="s">
        <v>3660</v>
      </c>
      <c r="E177" s="916"/>
      <c r="F177" s="916" t="s">
        <v>3733</v>
      </c>
      <c r="G177" s="915"/>
      <c r="H177" s="917">
        <v>12400</v>
      </c>
      <c r="I177" s="918"/>
      <c r="J177" s="918"/>
    </row>
    <row r="178" spans="1:10">
      <c r="A178" t="s">
        <v>3871</v>
      </c>
      <c r="B178" s="915" t="s">
        <v>3829</v>
      </c>
      <c r="C178" s="915" t="str">
        <f t="shared" si="2"/>
        <v>11월</v>
      </c>
      <c r="D178" s="916" t="s">
        <v>3660</v>
      </c>
      <c r="E178" s="916"/>
      <c r="F178" s="916" t="s">
        <v>3833</v>
      </c>
      <c r="G178" s="915"/>
      <c r="H178" s="917">
        <v>43000</v>
      </c>
      <c r="I178" s="918"/>
      <c r="J178" s="918"/>
    </row>
    <row r="179" spans="1:10">
      <c r="A179" t="s">
        <v>3871</v>
      </c>
      <c r="B179" s="915" t="s">
        <v>3829</v>
      </c>
      <c r="C179" s="915" t="str">
        <f t="shared" si="2"/>
        <v>11월</v>
      </c>
      <c r="D179" s="916" t="s">
        <v>3660</v>
      </c>
      <c r="E179" s="916"/>
      <c r="F179" s="916" t="s">
        <v>3733</v>
      </c>
      <c r="G179" s="915"/>
      <c r="H179" s="917">
        <v>9500</v>
      </c>
      <c r="I179" s="918"/>
      <c r="J179" s="918"/>
    </row>
    <row r="180" spans="1:10">
      <c r="A180" t="s">
        <v>3871</v>
      </c>
      <c r="B180" s="915" t="s">
        <v>3829</v>
      </c>
      <c r="C180" s="915" t="str">
        <f t="shared" si="2"/>
        <v>11월</v>
      </c>
      <c r="D180" s="916" t="s">
        <v>3660</v>
      </c>
      <c r="E180" s="916"/>
      <c r="F180" s="916" t="s">
        <v>3733</v>
      </c>
      <c r="G180" s="915"/>
      <c r="H180" s="917">
        <v>17200</v>
      </c>
      <c r="I180" s="918"/>
      <c r="J180" s="918"/>
    </row>
    <row r="181" spans="1:10">
      <c r="A181" t="s">
        <v>3871</v>
      </c>
      <c r="B181" s="915" t="s">
        <v>3829</v>
      </c>
      <c r="C181" s="915" t="str">
        <f t="shared" si="2"/>
        <v>11월</v>
      </c>
      <c r="D181" s="916" t="s">
        <v>3660</v>
      </c>
      <c r="E181" s="916"/>
      <c r="F181" s="916" t="s">
        <v>3834</v>
      </c>
      <c r="G181" s="915"/>
      <c r="H181" s="917">
        <v>26000</v>
      </c>
      <c r="I181" s="918"/>
      <c r="J181" s="918"/>
    </row>
    <row r="182" spans="1:10">
      <c r="A182" t="s">
        <v>3871</v>
      </c>
      <c r="B182" s="915" t="s">
        <v>3829</v>
      </c>
      <c r="C182" s="915" t="str">
        <f t="shared" si="2"/>
        <v>11월</v>
      </c>
      <c r="D182" s="916" t="s">
        <v>3660</v>
      </c>
      <c r="E182" s="916"/>
      <c r="F182" s="916" t="s">
        <v>3610</v>
      </c>
      <c r="G182" s="915"/>
      <c r="H182" s="917">
        <v>6500</v>
      </c>
      <c r="I182" s="918"/>
      <c r="J182" s="917">
        <v>2037781</v>
      </c>
    </row>
    <row r="183" spans="1:10">
      <c r="A183" t="s">
        <v>3871</v>
      </c>
      <c r="B183" s="915" t="s">
        <v>3835</v>
      </c>
      <c r="C183" s="915" t="str">
        <f t="shared" si="2"/>
        <v>11월</v>
      </c>
      <c r="D183" s="916" t="s">
        <v>3660</v>
      </c>
      <c r="E183" s="916"/>
      <c r="F183" s="916" t="s">
        <v>3733</v>
      </c>
      <c r="G183" s="915"/>
      <c r="H183" s="917">
        <v>14800</v>
      </c>
      <c r="I183" s="918"/>
      <c r="J183" s="918"/>
    </row>
    <row r="184" spans="1:10">
      <c r="A184" t="s">
        <v>3871</v>
      </c>
      <c r="B184" s="915" t="s">
        <v>3835</v>
      </c>
      <c r="C184" s="915" t="str">
        <f t="shared" si="2"/>
        <v>11월</v>
      </c>
      <c r="D184" s="916" t="s">
        <v>3660</v>
      </c>
      <c r="E184" s="916"/>
      <c r="F184" s="916" t="s">
        <v>3733</v>
      </c>
      <c r="G184" s="915"/>
      <c r="H184" s="917">
        <v>6700</v>
      </c>
      <c r="I184" s="918"/>
      <c r="J184" s="918"/>
    </row>
    <row r="185" spans="1:10">
      <c r="A185" t="s">
        <v>3871</v>
      </c>
      <c r="B185" s="915" t="s">
        <v>3835</v>
      </c>
      <c r="C185" s="915" t="str">
        <f t="shared" si="2"/>
        <v>11월</v>
      </c>
      <c r="D185" s="916" t="s">
        <v>3660</v>
      </c>
      <c r="E185" s="916"/>
      <c r="F185" s="916" t="s">
        <v>3733</v>
      </c>
      <c r="G185" s="915"/>
      <c r="H185" s="917">
        <v>4100</v>
      </c>
      <c r="I185" s="918"/>
      <c r="J185" s="918"/>
    </row>
    <row r="186" spans="1:10">
      <c r="A186" t="s">
        <v>3871</v>
      </c>
      <c r="B186" s="915" t="s">
        <v>3835</v>
      </c>
      <c r="C186" s="915" t="str">
        <f t="shared" si="2"/>
        <v>11월</v>
      </c>
      <c r="D186" s="916" t="s">
        <v>3660</v>
      </c>
      <c r="E186" s="916"/>
      <c r="F186" s="916" t="s">
        <v>3734</v>
      </c>
      <c r="G186" s="915"/>
      <c r="H186" s="917">
        <v>4300</v>
      </c>
      <c r="I186" s="918"/>
      <c r="J186" s="918"/>
    </row>
    <row r="187" spans="1:10">
      <c r="A187" t="s">
        <v>3871</v>
      </c>
      <c r="B187" s="915" t="s">
        <v>3835</v>
      </c>
      <c r="C187" s="915" t="str">
        <f t="shared" si="2"/>
        <v>11월</v>
      </c>
      <c r="D187" s="916" t="s">
        <v>3660</v>
      </c>
      <c r="E187" s="916"/>
      <c r="F187" s="916" t="s">
        <v>3836</v>
      </c>
      <c r="G187" s="915"/>
      <c r="H187" s="917">
        <v>4550</v>
      </c>
      <c r="I187" s="918"/>
      <c r="J187" s="918"/>
    </row>
    <row r="188" spans="1:10">
      <c r="A188" t="s">
        <v>3871</v>
      </c>
      <c r="B188" s="915" t="s">
        <v>3835</v>
      </c>
      <c r="C188" s="915" t="str">
        <f t="shared" si="2"/>
        <v>11월</v>
      </c>
      <c r="D188" s="916" t="s">
        <v>3660</v>
      </c>
      <c r="E188" s="916"/>
      <c r="F188" s="916" t="s">
        <v>3701</v>
      </c>
      <c r="G188" s="915"/>
      <c r="H188" s="917">
        <v>65000</v>
      </c>
      <c r="I188" s="918"/>
      <c r="J188" s="918"/>
    </row>
    <row r="189" spans="1:10">
      <c r="A189" t="s">
        <v>3871</v>
      </c>
      <c r="B189" s="915" t="s">
        <v>3835</v>
      </c>
      <c r="C189" s="915" t="str">
        <f t="shared" si="2"/>
        <v>11월</v>
      </c>
      <c r="D189" s="916" t="s">
        <v>3660</v>
      </c>
      <c r="E189" s="916"/>
      <c r="F189" s="916" t="s">
        <v>3758</v>
      </c>
      <c r="G189" s="915"/>
      <c r="H189" s="917">
        <v>7600</v>
      </c>
      <c r="I189" s="918"/>
      <c r="J189" s="918"/>
    </row>
    <row r="190" spans="1:10">
      <c r="A190" t="s">
        <v>3871</v>
      </c>
      <c r="B190" s="915" t="s">
        <v>3835</v>
      </c>
      <c r="C190" s="915" t="str">
        <f t="shared" si="2"/>
        <v>11월</v>
      </c>
      <c r="D190" s="916" t="s">
        <v>3660</v>
      </c>
      <c r="E190" s="916"/>
      <c r="F190" s="916" t="s">
        <v>3610</v>
      </c>
      <c r="G190" s="915"/>
      <c r="H190" s="917">
        <v>9300</v>
      </c>
      <c r="I190" s="918"/>
      <c r="J190" s="918"/>
    </row>
    <row r="191" spans="1:10">
      <c r="A191" t="s">
        <v>3871</v>
      </c>
      <c r="B191" s="915" t="s">
        <v>3835</v>
      </c>
      <c r="C191" s="915" t="str">
        <f t="shared" si="2"/>
        <v>11월</v>
      </c>
      <c r="D191" s="916" t="s">
        <v>3660</v>
      </c>
      <c r="E191" s="916"/>
      <c r="F191" s="916" t="s">
        <v>3701</v>
      </c>
      <c r="G191" s="915"/>
      <c r="H191" s="917">
        <v>12000</v>
      </c>
      <c r="I191" s="918"/>
      <c r="J191" s="917">
        <v>2166131</v>
      </c>
    </row>
    <row r="192" spans="1:10" ht="22.5">
      <c r="A192" t="s">
        <v>3871</v>
      </c>
      <c r="B192" s="915" t="s">
        <v>3624</v>
      </c>
      <c r="C192" s="915" t="str">
        <f t="shared" si="2"/>
        <v>11월</v>
      </c>
      <c r="D192" s="916" t="s">
        <v>3837</v>
      </c>
      <c r="E192" s="916"/>
      <c r="F192" s="916"/>
      <c r="G192" s="915"/>
      <c r="H192" s="917">
        <v>-22000</v>
      </c>
      <c r="I192" s="918"/>
      <c r="J192" s="917">
        <v>2144131</v>
      </c>
    </row>
    <row r="193" spans="1:10">
      <c r="A193" t="s">
        <v>3871</v>
      </c>
      <c r="B193" s="915" t="s">
        <v>3838</v>
      </c>
      <c r="C193" s="915" t="str">
        <f t="shared" si="2"/>
        <v>11월</v>
      </c>
      <c r="D193" s="916" t="s">
        <v>3660</v>
      </c>
      <c r="E193" s="916"/>
      <c r="F193" s="916" t="s">
        <v>3734</v>
      </c>
      <c r="G193" s="915"/>
      <c r="H193" s="917">
        <v>4900</v>
      </c>
      <c r="I193" s="918"/>
      <c r="J193" s="918"/>
    </row>
    <row r="194" spans="1:10">
      <c r="A194" t="s">
        <v>3871</v>
      </c>
      <c r="B194" s="915" t="s">
        <v>3838</v>
      </c>
      <c r="C194" s="915" t="str">
        <f t="shared" si="2"/>
        <v>11월</v>
      </c>
      <c r="D194" s="916" t="s">
        <v>3660</v>
      </c>
      <c r="E194" s="916"/>
      <c r="F194" s="916" t="s">
        <v>3839</v>
      </c>
      <c r="G194" s="915"/>
      <c r="H194" s="917">
        <v>4900</v>
      </c>
      <c r="I194" s="918"/>
      <c r="J194" s="918"/>
    </row>
    <row r="195" spans="1:10">
      <c r="A195" t="s">
        <v>3871</v>
      </c>
      <c r="B195" s="915" t="s">
        <v>3838</v>
      </c>
      <c r="C195" s="915" t="str">
        <f t="shared" ref="C195:C258" si="3">MONTH(B195)&amp;"월"</f>
        <v>11월</v>
      </c>
      <c r="D195" s="916" t="s">
        <v>3660</v>
      </c>
      <c r="E195" s="916"/>
      <c r="F195" s="916" t="s">
        <v>3840</v>
      </c>
      <c r="G195" s="915"/>
      <c r="H195" s="917">
        <v>29500</v>
      </c>
      <c r="I195" s="918"/>
      <c r="J195" s="918"/>
    </row>
    <row r="196" spans="1:10">
      <c r="A196" t="s">
        <v>3871</v>
      </c>
      <c r="B196" s="915" t="s">
        <v>3838</v>
      </c>
      <c r="C196" s="915" t="str">
        <f t="shared" si="3"/>
        <v>11월</v>
      </c>
      <c r="D196" s="916" t="s">
        <v>3660</v>
      </c>
      <c r="E196" s="916"/>
      <c r="F196" s="916" t="s">
        <v>3733</v>
      </c>
      <c r="G196" s="915"/>
      <c r="H196" s="917">
        <v>15300</v>
      </c>
      <c r="I196" s="918"/>
      <c r="J196" s="918"/>
    </row>
    <row r="197" spans="1:10">
      <c r="A197" t="s">
        <v>3871</v>
      </c>
      <c r="B197" s="915" t="s">
        <v>3838</v>
      </c>
      <c r="C197" s="915" t="str">
        <f t="shared" si="3"/>
        <v>11월</v>
      </c>
      <c r="D197" s="916" t="s">
        <v>3660</v>
      </c>
      <c r="E197" s="916"/>
      <c r="F197" s="916" t="s">
        <v>3833</v>
      </c>
      <c r="G197" s="915"/>
      <c r="H197" s="917">
        <v>32000</v>
      </c>
      <c r="I197" s="918"/>
      <c r="J197" s="918"/>
    </row>
    <row r="198" spans="1:10">
      <c r="A198" t="s">
        <v>3871</v>
      </c>
      <c r="B198" s="915" t="s">
        <v>3838</v>
      </c>
      <c r="C198" s="915" t="str">
        <f t="shared" si="3"/>
        <v>11월</v>
      </c>
      <c r="D198" s="916" t="s">
        <v>3660</v>
      </c>
      <c r="E198" s="916"/>
      <c r="F198" s="916" t="s">
        <v>3770</v>
      </c>
      <c r="G198" s="915"/>
      <c r="H198" s="917">
        <v>8100</v>
      </c>
      <c r="I198" s="918"/>
      <c r="J198" s="917">
        <v>2238831</v>
      </c>
    </row>
    <row r="199" spans="1:10">
      <c r="A199" t="s">
        <v>3871</v>
      </c>
      <c r="B199" s="915" t="s">
        <v>3841</v>
      </c>
      <c r="C199" s="915" t="str">
        <f t="shared" si="3"/>
        <v>11월</v>
      </c>
      <c r="D199" s="916" t="s">
        <v>3641</v>
      </c>
      <c r="E199" s="916"/>
      <c r="F199" s="916" t="s">
        <v>3842</v>
      </c>
      <c r="G199" s="915"/>
      <c r="H199" s="917">
        <v>66000</v>
      </c>
      <c r="I199" s="918"/>
      <c r="J199" s="918"/>
    </row>
    <row r="200" spans="1:10">
      <c r="A200" t="s">
        <v>3871</v>
      </c>
      <c r="B200" s="915" t="s">
        <v>3841</v>
      </c>
      <c r="C200" s="915" t="str">
        <f t="shared" si="3"/>
        <v>11월</v>
      </c>
      <c r="D200" s="916" t="s">
        <v>3660</v>
      </c>
      <c r="E200" s="916"/>
      <c r="F200" s="916" t="s">
        <v>3615</v>
      </c>
      <c r="G200" s="915"/>
      <c r="H200" s="917">
        <v>47080</v>
      </c>
      <c r="I200" s="918"/>
      <c r="J200" s="918"/>
    </row>
    <row r="201" spans="1:10">
      <c r="A201" t="s">
        <v>3871</v>
      </c>
      <c r="B201" s="915" t="s">
        <v>3841</v>
      </c>
      <c r="C201" s="915" t="str">
        <f t="shared" si="3"/>
        <v>11월</v>
      </c>
      <c r="D201" s="916" t="s">
        <v>3660</v>
      </c>
      <c r="E201" s="916"/>
      <c r="F201" s="916" t="s">
        <v>3733</v>
      </c>
      <c r="G201" s="915"/>
      <c r="H201" s="917">
        <v>6200</v>
      </c>
      <c r="I201" s="918"/>
      <c r="J201" s="918"/>
    </row>
    <row r="202" spans="1:10">
      <c r="A202" t="s">
        <v>3871</v>
      </c>
      <c r="B202" s="915" t="s">
        <v>3841</v>
      </c>
      <c r="C202" s="915" t="str">
        <f t="shared" si="3"/>
        <v>11월</v>
      </c>
      <c r="D202" s="916" t="s">
        <v>3660</v>
      </c>
      <c r="E202" s="916"/>
      <c r="F202" s="916" t="s">
        <v>3733</v>
      </c>
      <c r="G202" s="915"/>
      <c r="H202" s="917">
        <v>6100</v>
      </c>
      <c r="I202" s="918"/>
      <c r="J202" s="918"/>
    </row>
    <row r="203" spans="1:10">
      <c r="A203" t="s">
        <v>3871</v>
      </c>
      <c r="B203" s="915" t="s">
        <v>3841</v>
      </c>
      <c r="C203" s="915" t="str">
        <f t="shared" si="3"/>
        <v>11월</v>
      </c>
      <c r="D203" s="916" t="s">
        <v>3660</v>
      </c>
      <c r="E203" s="916"/>
      <c r="F203" s="916" t="s">
        <v>3843</v>
      </c>
      <c r="G203" s="915"/>
      <c r="H203" s="917">
        <v>6400</v>
      </c>
      <c r="I203" s="918"/>
      <c r="J203" s="918"/>
    </row>
    <row r="204" spans="1:10">
      <c r="A204" t="s">
        <v>3871</v>
      </c>
      <c r="B204" s="915" t="s">
        <v>3841</v>
      </c>
      <c r="C204" s="915" t="str">
        <f t="shared" si="3"/>
        <v>11월</v>
      </c>
      <c r="D204" s="916" t="s">
        <v>3660</v>
      </c>
      <c r="E204" s="916"/>
      <c r="F204" s="916" t="s">
        <v>3733</v>
      </c>
      <c r="G204" s="915"/>
      <c r="H204" s="917">
        <v>6400</v>
      </c>
      <c r="I204" s="918"/>
      <c r="J204" s="918"/>
    </row>
    <row r="205" spans="1:10">
      <c r="A205" t="s">
        <v>3871</v>
      </c>
      <c r="B205" s="915" t="s">
        <v>3841</v>
      </c>
      <c r="C205" s="915" t="str">
        <f t="shared" si="3"/>
        <v>11월</v>
      </c>
      <c r="D205" s="916" t="s">
        <v>3660</v>
      </c>
      <c r="E205" s="916"/>
      <c r="F205" s="916" t="s">
        <v>3844</v>
      </c>
      <c r="G205" s="915"/>
      <c r="H205" s="917">
        <v>13800</v>
      </c>
      <c r="I205" s="918"/>
      <c r="J205" s="918"/>
    </row>
    <row r="206" spans="1:10">
      <c r="A206" t="s">
        <v>3871</v>
      </c>
      <c r="B206" s="915" t="s">
        <v>3841</v>
      </c>
      <c r="C206" s="915" t="str">
        <f t="shared" si="3"/>
        <v>11월</v>
      </c>
      <c r="D206" s="916" t="s">
        <v>3660</v>
      </c>
      <c r="E206" s="916"/>
      <c r="F206" s="916" t="s">
        <v>3733</v>
      </c>
      <c r="G206" s="915"/>
      <c r="H206" s="917">
        <v>6000</v>
      </c>
      <c r="I206" s="918"/>
      <c r="J206" s="918"/>
    </row>
    <row r="207" spans="1:10">
      <c r="A207" t="s">
        <v>3871</v>
      </c>
      <c r="B207" s="915" t="s">
        <v>3841</v>
      </c>
      <c r="C207" s="915" t="str">
        <f t="shared" si="3"/>
        <v>11월</v>
      </c>
      <c r="D207" s="916" t="s">
        <v>3660</v>
      </c>
      <c r="E207" s="916"/>
      <c r="F207" s="916" t="s">
        <v>3845</v>
      </c>
      <c r="G207" s="915"/>
      <c r="H207" s="917">
        <v>16000</v>
      </c>
      <c r="I207" s="918"/>
      <c r="J207" s="918"/>
    </row>
    <row r="208" spans="1:10">
      <c r="A208" t="s">
        <v>3871</v>
      </c>
      <c r="B208" s="915" t="s">
        <v>3841</v>
      </c>
      <c r="C208" s="915" t="str">
        <f t="shared" si="3"/>
        <v>11월</v>
      </c>
      <c r="D208" s="916" t="s">
        <v>3660</v>
      </c>
      <c r="E208" s="916"/>
      <c r="F208" s="916" t="s">
        <v>3846</v>
      </c>
      <c r="G208" s="915"/>
      <c r="H208" s="917">
        <v>5700</v>
      </c>
      <c r="I208" s="918"/>
      <c r="J208" s="918"/>
    </row>
    <row r="209" spans="1:10">
      <c r="A209" t="s">
        <v>3871</v>
      </c>
      <c r="B209" s="915" t="s">
        <v>3841</v>
      </c>
      <c r="C209" s="915" t="str">
        <f t="shared" si="3"/>
        <v>11월</v>
      </c>
      <c r="D209" s="916" t="s">
        <v>3660</v>
      </c>
      <c r="E209" s="916"/>
      <c r="F209" s="916" t="s">
        <v>3733</v>
      </c>
      <c r="G209" s="915"/>
      <c r="H209" s="917">
        <v>26500</v>
      </c>
      <c r="I209" s="918"/>
      <c r="J209" s="918"/>
    </row>
    <row r="210" spans="1:10">
      <c r="A210" t="s">
        <v>3871</v>
      </c>
      <c r="B210" s="915" t="s">
        <v>3841</v>
      </c>
      <c r="C210" s="915" t="str">
        <f t="shared" si="3"/>
        <v>11월</v>
      </c>
      <c r="D210" s="916" t="s">
        <v>3660</v>
      </c>
      <c r="E210" s="916"/>
      <c r="F210" s="916" t="s">
        <v>3847</v>
      </c>
      <c r="G210" s="915"/>
      <c r="H210" s="917">
        <v>80100</v>
      </c>
      <c r="I210" s="918"/>
      <c r="J210" s="918"/>
    </row>
    <row r="211" spans="1:10">
      <c r="A211" t="s">
        <v>3871</v>
      </c>
      <c r="B211" s="915" t="s">
        <v>3841</v>
      </c>
      <c r="C211" s="915" t="str">
        <f t="shared" si="3"/>
        <v>11월</v>
      </c>
      <c r="D211" s="916" t="s">
        <v>3660</v>
      </c>
      <c r="E211" s="916"/>
      <c r="F211" s="916" t="s">
        <v>3848</v>
      </c>
      <c r="G211" s="915"/>
      <c r="H211" s="917">
        <v>77700</v>
      </c>
      <c r="I211" s="918"/>
      <c r="J211" s="918"/>
    </row>
    <row r="212" spans="1:10">
      <c r="A212" t="s">
        <v>3871</v>
      </c>
      <c r="B212" s="915" t="s">
        <v>3841</v>
      </c>
      <c r="C212" s="915" t="str">
        <f t="shared" si="3"/>
        <v>11월</v>
      </c>
      <c r="D212" s="916" t="s">
        <v>3660</v>
      </c>
      <c r="E212" s="916"/>
      <c r="F212" s="916" t="s">
        <v>3849</v>
      </c>
      <c r="G212" s="915"/>
      <c r="H212" s="917">
        <v>7700</v>
      </c>
      <c r="I212" s="918"/>
      <c r="J212" s="918"/>
    </row>
    <row r="213" spans="1:10">
      <c r="A213" t="s">
        <v>3871</v>
      </c>
      <c r="B213" s="915" t="s">
        <v>3841</v>
      </c>
      <c r="C213" s="915" t="str">
        <f t="shared" si="3"/>
        <v>11월</v>
      </c>
      <c r="D213" s="916" t="s">
        <v>3660</v>
      </c>
      <c r="E213" s="916"/>
      <c r="F213" s="916" t="s">
        <v>3850</v>
      </c>
      <c r="G213" s="915"/>
      <c r="H213" s="917">
        <v>3000</v>
      </c>
      <c r="I213" s="918"/>
      <c r="J213" s="918"/>
    </row>
    <row r="214" spans="1:10">
      <c r="A214" t="s">
        <v>3871</v>
      </c>
      <c r="B214" s="915" t="s">
        <v>3841</v>
      </c>
      <c r="C214" s="915" t="str">
        <f t="shared" si="3"/>
        <v>11월</v>
      </c>
      <c r="D214" s="916" t="s">
        <v>3660</v>
      </c>
      <c r="E214" s="916"/>
      <c r="F214" s="916" t="s">
        <v>3851</v>
      </c>
      <c r="G214" s="915"/>
      <c r="H214" s="917">
        <v>2700</v>
      </c>
      <c r="I214" s="918"/>
      <c r="J214" s="918"/>
    </row>
    <row r="215" spans="1:10">
      <c r="A215" t="s">
        <v>3871</v>
      </c>
      <c r="B215" s="915" t="s">
        <v>3841</v>
      </c>
      <c r="C215" s="915" t="str">
        <f t="shared" si="3"/>
        <v>11월</v>
      </c>
      <c r="D215" s="916" t="s">
        <v>3660</v>
      </c>
      <c r="E215" s="916"/>
      <c r="F215" s="916" t="s">
        <v>3846</v>
      </c>
      <c r="G215" s="915"/>
      <c r="H215" s="917">
        <v>5700</v>
      </c>
      <c r="I215" s="918"/>
      <c r="J215" s="917">
        <v>2621911</v>
      </c>
    </row>
    <row r="216" spans="1:10">
      <c r="A216" t="s">
        <v>3871</v>
      </c>
      <c r="B216" s="915" t="s">
        <v>3852</v>
      </c>
      <c r="C216" s="915" t="str">
        <f t="shared" si="3"/>
        <v>12월</v>
      </c>
      <c r="D216" s="916" t="s">
        <v>3853</v>
      </c>
      <c r="E216" s="916"/>
      <c r="F216" s="916"/>
      <c r="G216" s="915"/>
      <c r="H216" s="917">
        <v>-1990000</v>
      </c>
      <c r="I216" s="918"/>
      <c r="J216" s="917">
        <v>631911</v>
      </c>
    </row>
    <row r="217" spans="1:10">
      <c r="A217" t="s">
        <v>3871</v>
      </c>
      <c r="B217" s="915" t="s">
        <v>3854</v>
      </c>
      <c r="C217" s="915" t="str">
        <f t="shared" si="3"/>
        <v>12월</v>
      </c>
      <c r="D217" s="916" t="s">
        <v>3855</v>
      </c>
      <c r="E217" s="916"/>
      <c r="F217" s="916" t="s">
        <v>3701</v>
      </c>
      <c r="G217" s="915"/>
      <c r="H217" s="917">
        <v>66000</v>
      </c>
      <c r="I217" s="918"/>
      <c r="J217" s="918"/>
    </row>
    <row r="218" spans="1:10">
      <c r="A218" t="s">
        <v>3871</v>
      </c>
      <c r="B218" s="915" t="s">
        <v>3854</v>
      </c>
      <c r="C218" s="915" t="str">
        <f t="shared" si="3"/>
        <v>12월</v>
      </c>
      <c r="D218" s="916" t="s">
        <v>3855</v>
      </c>
      <c r="E218" s="916"/>
      <c r="F218" s="916" t="s">
        <v>3610</v>
      </c>
      <c r="G218" s="915"/>
      <c r="H218" s="917">
        <v>5900</v>
      </c>
      <c r="I218" s="918"/>
      <c r="J218" s="918"/>
    </row>
    <row r="219" spans="1:10">
      <c r="A219" t="s">
        <v>3871</v>
      </c>
      <c r="B219" s="915" t="s">
        <v>3854</v>
      </c>
      <c r="C219" s="915" t="str">
        <f t="shared" si="3"/>
        <v>12월</v>
      </c>
      <c r="D219" s="916" t="s">
        <v>3855</v>
      </c>
      <c r="E219" s="916"/>
      <c r="F219" s="916" t="s">
        <v>3610</v>
      </c>
      <c r="G219" s="915"/>
      <c r="H219" s="917">
        <v>12000</v>
      </c>
      <c r="I219" s="918"/>
      <c r="J219" s="917">
        <v>715811</v>
      </c>
    </row>
    <row r="220" spans="1:10">
      <c r="A220" t="s">
        <v>3871</v>
      </c>
      <c r="B220" s="915" t="s">
        <v>3856</v>
      </c>
      <c r="C220" s="915" t="str">
        <f t="shared" si="3"/>
        <v>12월</v>
      </c>
      <c r="D220" s="916" t="s">
        <v>3660</v>
      </c>
      <c r="E220" s="916"/>
      <c r="F220" s="916" t="s">
        <v>3733</v>
      </c>
      <c r="G220" s="915"/>
      <c r="H220" s="917">
        <v>8300</v>
      </c>
      <c r="I220" s="918"/>
      <c r="J220" s="918"/>
    </row>
    <row r="221" spans="1:10">
      <c r="A221" t="s">
        <v>3871</v>
      </c>
      <c r="B221" s="915" t="s">
        <v>3856</v>
      </c>
      <c r="C221" s="915" t="str">
        <f t="shared" si="3"/>
        <v>12월</v>
      </c>
      <c r="D221" s="916" t="s">
        <v>3660</v>
      </c>
      <c r="E221" s="916"/>
      <c r="F221" s="916" t="s">
        <v>3857</v>
      </c>
      <c r="G221" s="915"/>
      <c r="H221" s="917">
        <v>7900</v>
      </c>
      <c r="I221" s="918"/>
      <c r="J221" s="918"/>
    </row>
    <row r="222" spans="1:10">
      <c r="A222" t="s">
        <v>3871</v>
      </c>
      <c r="B222" s="915" t="s">
        <v>3856</v>
      </c>
      <c r="C222" s="915" t="str">
        <f t="shared" si="3"/>
        <v>12월</v>
      </c>
      <c r="D222" s="916" t="s">
        <v>3660</v>
      </c>
      <c r="E222" s="916"/>
      <c r="F222" s="916" t="s">
        <v>3858</v>
      </c>
      <c r="G222" s="915"/>
      <c r="H222" s="917">
        <v>23000</v>
      </c>
      <c r="I222" s="918"/>
      <c r="J222" s="918"/>
    </row>
    <row r="223" spans="1:10">
      <c r="A223" t="s">
        <v>3871</v>
      </c>
      <c r="B223" s="915" t="s">
        <v>3856</v>
      </c>
      <c r="C223" s="915" t="str">
        <f t="shared" si="3"/>
        <v>12월</v>
      </c>
      <c r="D223" s="916" t="s">
        <v>3660</v>
      </c>
      <c r="E223" s="916"/>
      <c r="F223" s="916" t="s">
        <v>3724</v>
      </c>
      <c r="G223" s="915"/>
      <c r="H223" s="917">
        <v>26000</v>
      </c>
      <c r="I223" s="918"/>
      <c r="J223" s="917">
        <v>781011</v>
      </c>
    </row>
    <row r="224" spans="1:10">
      <c r="A224" t="s">
        <v>3871</v>
      </c>
      <c r="B224" s="915" t="s">
        <v>3859</v>
      </c>
      <c r="C224" s="915" t="str">
        <f t="shared" si="3"/>
        <v>12월</v>
      </c>
      <c r="D224" s="916" t="s">
        <v>3660</v>
      </c>
      <c r="E224" s="916"/>
      <c r="F224" s="916" t="s">
        <v>3733</v>
      </c>
      <c r="G224" s="915"/>
      <c r="H224" s="917">
        <v>16800</v>
      </c>
      <c r="I224" s="918"/>
      <c r="J224" s="918"/>
    </row>
    <row r="225" spans="1:10">
      <c r="A225" t="s">
        <v>3871</v>
      </c>
      <c r="B225" s="915" t="s">
        <v>3859</v>
      </c>
      <c r="C225" s="915" t="str">
        <f t="shared" si="3"/>
        <v>12월</v>
      </c>
      <c r="D225" s="916" t="s">
        <v>3660</v>
      </c>
      <c r="E225" s="916"/>
      <c r="F225" s="916" t="s">
        <v>3733</v>
      </c>
      <c r="G225" s="915"/>
      <c r="H225" s="917">
        <v>5100</v>
      </c>
      <c r="I225" s="918"/>
      <c r="J225" s="918"/>
    </row>
    <row r="226" spans="1:10">
      <c r="A226" t="s">
        <v>3871</v>
      </c>
      <c r="B226" s="915" t="s">
        <v>3859</v>
      </c>
      <c r="C226" s="915" t="str">
        <f t="shared" si="3"/>
        <v>12월</v>
      </c>
      <c r="D226" s="916" t="s">
        <v>3660</v>
      </c>
      <c r="E226" s="916"/>
      <c r="F226" s="916" t="s">
        <v>3860</v>
      </c>
      <c r="G226" s="915"/>
      <c r="H226" s="917">
        <v>8000</v>
      </c>
      <c r="I226" s="918"/>
      <c r="J226" s="917">
        <v>810911</v>
      </c>
    </row>
    <row r="227" spans="1:10">
      <c r="A227" t="s">
        <v>3871</v>
      </c>
      <c r="B227" s="915" t="s">
        <v>3861</v>
      </c>
      <c r="C227" s="915" t="str">
        <f t="shared" si="3"/>
        <v>12월</v>
      </c>
      <c r="D227" s="916" t="s">
        <v>3641</v>
      </c>
      <c r="E227" s="916"/>
      <c r="F227" s="916" t="s">
        <v>3862</v>
      </c>
      <c r="G227" s="915"/>
      <c r="H227" s="917">
        <v>58000</v>
      </c>
      <c r="I227" s="918"/>
      <c r="J227" s="917">
        <v>868911</v>
      </c>
    </row>
    <row r="228" spans="1:10">
      <c r="A228" t="s">
        <v>3871</v>
      </c>
      <c r="B228" s="915" t="s">
        <v>3863</v>
      </c>
      <c r="C228" s="915" t="str">
        <f t="shared" si="3"/>
        <v>12월</v>
      </c>
      <c r="D228" s="916" t="s">
        <v>3660</v>
      </c>
      <c r="E228" s="916"/>
      <c r="F228" s="916" t="s">
        <v>3724</v>
      </c>
      <c r="G228" s="915"/>
      <c r="H228" s="917">
        <v>13000</v>
      </c>
      <c r="I228" s="918"/>
      <c r="J228" s="918"/>
    </row>
    <row r="229" spans="1:10">
      <c r="A229" t="s">
        <v>3871</v>
      </c>
      <c r="B229" s="915" t="s">
        <v>3863</v>
      </c>
      <c r="C229" s="915" t="str">
        <f t="shared" si="3"/>
        <v>12월</v>
      </c>
      <c r="D229" s="916" t="s">
        <v>3660</v>
      </c>
      <c r="E229" s="916"/>
      <c r="F229" s="916" t="s">
        <v>3831</v>
      </c>
      <c r="G229" s="915"/>
      <c r="H229" s="917">
        <v>8900</v>
      </c>
      <c r="I229" s="918"/>
      <c r="J229" s="917">
        <v>890811</v>
      </c>
    </row>
    <row r="230" spans="1:10">
      <c r="A230" t="s">
        <v>3871</v>
      </c>
      <c r="B230" s="915" t="s">
        <v>3864</v>
      </c>
      <c r="C230" s="915" t="str">
        <f t="shared" si="3"/>
        <v>12월</v>
      </c>
      <c r="D230" s="916" t="s">
        <v>3660</v>
      </c>
      <c r="E230" s="916"/>
      <c r="F230" s="916" t="s">
        <v>3758</v>
      </c>
      <c r="G230" s="915"/>
      <c r="H230" s="917">
        <v>7600</v>
      </c>
      <c r="I230" s="918"/>
      <c r="J230" s="918"/>
    </row>
    <row r="231" spans="1:10">
      <c r="A231" t="s">
        <v>3871</v>
      </c>
      <c r="B231" s="915" t="s">
        <v>3864</v>
      </c>
      <c r="C231" s="915" t="str">
        <f t="shared" si="3"/>
        <v>12월</v>
      </c>
      <c r="D231" s="916" t="s">
        <v>3660</v>
      </c>
      <c r="E231" s="916"/>
      <c r="F231" s="916" t="s">
        <v>3652</v>
      </c>
      <c r="G231" s="915"/>
      <c r="H231" s="917">
        <v>37400</v>
      </c>
      <c r="I231" s="918"/>
      <c r="J231" s="918"/>
    </row>
    <row r="232" spans="1:10">
      <c r="A232" t="s">
        <v>3871</v>
      </c>
      <c r="B232" s="915" t="s">
        <v>3864</v>
      </c>
      <c r="C232" s="915" t="str">
        <f t="shared" si="3"/>
        <v>12월</v>
      </c>
      <c r="D232" s="916" t="s">
        <v>3660</v>
      </c>
      <c r="E232" s="916"/>
      <c r="F232" s="916" t="s">
        <v>3733</v>
      </c>
      <c r="G232" s="915"/>
      <c r="H232" s="917">
        <v>6500</v>
      </c>
      <c r="I232" s="918"/>
      <c r="J232" s="918"/>
    </row>
    <row r="233" spans="1:10">
      <c r="A233" t="s">
        <v>3871</v>
      </c>
      <c r="B233" s="915" t="s">
        <v>3864</v>
      </c>
      <c r="C233" s="915" t="str">
        <f t="shared" si="3"/>
        <v>12월</v>
      </c>
      <c r="D233" s="916" t="s">
        <v>3660</v>
      </c>
      <c r="E233" s="916"/>
      <c r="F233" s="916" t="s">
        <v>3733</v>
      </c>
      <c r="G233" s="915"/>
      <c r="H233" s="917">
        <v>11200</v>
      </c>
      <c r="I233" s="918"/>
      <c r="J233" s="917">
        <v>953511</v>
      </c>
    </row>
    <row r="234" spans="1:10">
      <c r="A234" t="s">
        <v>3871</v>
      </c>
      <c r="B234" s="915" t="s">
        <v>3865</v>
      </c>
      <c r="C234" s="915" t="str">
        <f t="shared" si="3"/>
        <v>12월</v>
      </c>
      <c r="D234" s="916" t="s">
        <v>3660</v>
      </c>
      <c r="E234" s="916"/>
      <c r="F234" s="916" t="s">
        <v>3866</v>
      </c>
      <c r="G234" s="915"/>
      <c r="H234" s="917">
        <v>3000</v>
      </c>
      <c r="I234" s="918"/>
      <c r="J234" s="918"/>
    </row>
    <row r="235" spans="1:10">
      <c r="A235" t="s">
        <v>3871</v>
      </c>
      <c r="B235" s="915" t="s">
        <v>3865</v>
      </c>
      <c r="C235" s="915" t="str">
        <f t="shared" si="3"/>
        <v>12월</v>
      </c>
      <c r="D235" s="916" t="s">
        <v>3660</v>
      </c>
      <c r="E235" s="916"/>
      <c r="F235" s="916" t="s">
        <v>3831</v>
      </c>
      <c r="G235" s="915"/>
      <c r="H235" s="917">
        <v>3800</v>
      </c>
      <c r="I235" s="918"/>
      <c r="J235" s="918"/>
    </row>
    <row r="236" spans="1:10">
      <c r="A236" t="s">
        <v>3871</v>
      </c>
      <c r="B236" s="915" t="s">
        <v>3865</v>
      </c>
      <c r="C236" s="915" t="str">
        <f t="shared" si="3"/>
        <v>12월</v>
      </c>
      <c r="D236" s="916" t="s">
        <v>3660</v>
      </c>
      <c r="E236" s="916"/>
      <c r="F236" s="916" t="s">
        <v>3867</v>
      </c>
      <c r="G236" s="915"/>
      <c r="H236" s="917">
        <v>23000</v>
      </c>
      <c r="I236" s="918"/>
      <c r="J236" s="917">
        <v>983311</v>
      </c>
    </row>
    <row r="237" spans="1:10">
      <c r="A237" t="s">
        <v>3871</v>
      </c>
      <c r="B237" s="915" t="s">
        <v>3868</v>
      </c>
      <c r="C237" s="915" t="str">
        <f t="shared" si="3"/>
        <v>12월</v>
      </c>
      <c r="D237" s="916" t="s">
        <v>3660</v>
      </c>
      <c r="E237" s="916"/>
      <c r="F237" s="916" t="s">
        <v>3869</v>
      </c>
      <c r="G237" s="915"/>
      <c r="H237" s="917">
        <v>7600</v>
      </c>
      <c r="I237" s="918"/>
      <c r="J237" s="918"/>
    </row>
    <row r="238" spans="1:10">
      <c r="A238" t="s">
        <v>3871</v>
      </c>
      <c r="B238" s="915" t="s">
        <v>3868</v>
      </c>
      <c r="C238" s="915" t="str">
        <f t="shared" si="3"/>
        <v>12월</v>
      </c>
      <c r="D238" s="916" t="s">
        <v>3660</v>
      </c>
      <c r="E238" s="916"/>
      <c r="F238" s="916" t="s">
        <v>3733</v>
      </c>
      <c r="G238" s="915"/>
      <c r="H238" s="917">
        <v>9000</v>
      </c>
      <c r="I238" s="918"/>
      <c r="J238" s="918"/>
    </row>
    <row r="239" spans="1:10">
      <c r="A239" t="s">
        <v>3871</v>
      </c>
      <c r="B239" s="915" t="s">
        <v>3868</v>
      </c>
      <c r="C239" s="915" t="str">
        <f t="shared" si="3"/>
        <v>12월</v>
      </c>
      <c r="D239" s="916" t="s">
        <v>3660</v>
      </c>
      <c r="E239" s="916"/>
      <c r="F239" s="916" t="s">
        <v>3733</v>
      </c>
      <c r="G239" s="915"/>
      <c r="H239" s="917">
        <v>7000</v>
      </c>
      <c r="I239" s="918"/>
      <c r="J239" s="917">
        <v>1006911</v>
      </c>
    </row>
    <row r="240" spans="1:10">
      <c r="A240" t="s">
        <v>3871</v>
      </c>
      <c r="B240" s="915" t="s">
        <v>3629</v>
      </c>
      <c r="C240" s="915" t="str">
        <f t="shared" si="3"/>
        <v>12월</v>
      </c>
      <c r="D240" s="916" t="s">
        <v>3630</v>
      </c>
      <c r="E240" s="916"/>
      <c r="F240" s="916"/>
      <c r="G240" s="915"/>
      <c r="H240" s="918"/>
      <c r="I240" s="917">
        <v>1006911</v>
      </c>
      <c r="J240" s="918"/>
    </row>
    <row r="241" spans="1:10">
      <c r="A241" t="s">
        <v>3906</v>
      </c>
      <c r="B241" s="915" t="s">
        <v>3872</v>
      </c>
      <c r="C241" s="915" t="str">
        <f t="shared" si="3"/>
        <v>1월</v>
      </c>
      <c r="D241" s="916" t="s">
        <v>3873</v>
      </c>
      <c r="E241" s="916"/>
      <c r="F241" s="916" t="s">
        <v>3874</v>
      </c>
      <c r="G241" s="915"/>
      <c r="H241" s="917">
        <v>850000</v>
      </c>
      <c r="I241" s="918"/>
      <c r="J241" s="917">
        <v>850000</v>
      </c>
    </row>
    <row r="242" spans="1:10">
      <c r="A242" t="s">
        <v>3906</v>
      </c>
      <c r="B242" s="915" t="s">
        <v>3875</v>
      </c>
      <c r="C242" s="915" t="str">
        <f t="shared" si="3"/>
        <v>2월</v>
      </c>
      <c r="D242" s="916" t="s">
        <v>3876</v>
      </c>
      <c r="E242" s="916"/>
      <c r="F242" s="916" t="s">
        <v>3877</v>
      </c>
      <c r="G242" s="915"/>
      <c r="H242" s="917">
        <v>850000</v>
      </c>
      <c r="I242" s="918"/>
      <c r="J242" s="917">
        <v>1700000</v>
      </c>
    </row>
    <row r="243" spans="1:10">
      <c r="A243" t="s">
        <v>3906</v>
      </c>
      <c r="B243" s="915" t="s">
        <v>3878</v>
      </c>
      <c r="C243" s="915" t="str">
        <f t="shared" si="3"/>
        <v>3월</v>
      </c>
      <c r="D243" s="916" t="s">
        <v>3879</v>
      </c>
      <c r="E243" s="916"/>
      <c r="F243" s="916" t="s">
        <v>3880</v>
      </c>
      <c r="G243" s="915"/>
      <c r="H243" s="917">
        <v>850000</v>
      </c>
      <c r="I243" s="918"/>
      <c r="J243" s="917">
        <v>2550000</v>
      </c>
    </row>
    <row r="244" spans="1:10">
      <c r="A244" t="s">
        <v>3906</v>
      </c>
      <c r="B244" s="915" t="s">
        <v>3881</v>
      </c>
      <c r="C244" s="915" t="str">
        <f t="shared" si="3"/>
        <v>4월</v>
      </c>
      <c r="D244" s="916" t="s">
        <v>3882</v>
      </c>
      <c r="E244" s="916"/>
      <c r="F244" s="916" t="s">
        <v>3883</v>
      </c>
      <c r="G244" s="915"/>
      <c r="H244" s="917">
        <v>850000</v>
      </c>
      <c r="I244" s="918"/>
      <c r="J244" s="917">
        <v>3400000</v>
      </c>
    </row>
    <row r="245" spans="1:10">
      <c r="A245" t="s">
        <v>3906</v>
      </c>
      <c r="B245" s="915" t="s">
        <v>3884</v>
      </c>
      <c r="C245" s="915" t="str">
        <f t="shared" si="3"/>
        <v>5월</v>
      </c>
      <c r="D245" s="916" t="s">
        <v>3885</v>
      </c>
      <c r="E245" s="916"/>
      <c r="F245" s="916" t="s">
        <v>3886</v>
      </c>
      <c r="G245" s="915"/>
      <c r="H245" s="917">
        <v>850000</v>
      </c>
      <c r="I245" s="918"/>
      <c r="J245" s="917">
        <v>4250000</v>
      </c>
    </row>
    <row r="246" spans="1:10">
      <c r="A246" t="s">
        <v>3906</v>
      </c>
      <c r="B246" s="915" t="s">
        <v>3887</v>
      </c>
      <c r="C246" s="915" t="str">
        <f t="shared" si="3"/>
        <v>6월</v>
      </c>
      <c r="D246" s="916" t="s">
        <v>3885</v>
      </c>
      <c r="E246" s="916"/>
      <c r="F246" s="916" t="s">
        <v>3888</v>
      </c>
      <c r="G246" s="915"/>
      <c r="H246" s="917">
        <v>850000</v>
      </c>
      <c r="I246" s="918"/>
      <c r="J246" s="917">
        <v>5100000</v>
      </c>
    </row>
    <row r="247" spans="1:10">
      <c r="A247" t="s">
        <v>3906</v>
      </c>
      <c r="B247" s="915" t="s">
        <v>3889</v>
      </c>
      <c r="C247" s="915" t="str">
        <f t="shared" si="3"/>
        <v>7월</v>
      </c>
      <c r="D247" s="916" t="s">
        <v>3890</v>
      </c>
      <c r="E247" s="916"/>
      <c r="F247" s="916" t="s">
        <v>3891</v>
      </c>
      <c r="G247" s="915"/>
      <c r="H247" s="917">
        <v>750000</v>
      </c>
      <c r="I247" s="918"/>
      <c r="J247" s="917">
        <v>5850000</v>
      </c>
    </row>
    <row r="248" spans="1:10">
      <c r="A248" t="s">
        <v>3906</v>
      </c>
      <c r="B248" s="915" t="s">
        <v>3892</v>
      </c>
      <c r="C248" s="915" t="str">
        <f t="shared" si="3"/>
        <v>8월</v>
      </c>
      <c r="D248" s="916" t="s">
        <v>3893</v>
      </c>
      <c r="E248" s="916"/>
      <c r="F248" s="916" t="s">
        <v>3894</v>
      </c>
      <c r="G248" s="915"/>
      <c r="H248" s="917">
        <v>850000</v>
      </c>
      <c r="I248" s="918"/>
      <c r="J248" s="917">
        <v>6700000</v>
      </c>
    </row>
    <row r="249" spans="1:10">
      <c r="A249" t="s">
        <v>3906</v>
      </c>
      <c r="B249" s="915" t="s">
        <v>3895</v>
      </c>
      <c r="C249" s="915" t="str">
        <f t="shared" si="3"/>
        <v>9월</v>
      </c>
      <c r="D249" s="916" t="s">
        <v>3896</v>
      </c>
      <c r="E249" s="916"/>
      <c r="F249" s="916" t="s">
        <v>3897</v>
      </c>
      <c r="G249" s="915"/>
      <c r="H249" s="917">
        <v>850000</v>
      </c>
      <c r="I249" s="918"/>
      <c r="J249" s="917">
        <v>7550000</v>
      </c>
    </row>
    <row r="250" spans="1:10">
      <c r="A250" t="s">
        <v>3906</v>
      </c>
      <c r="B250" s="915" t="s">
        <v>3898</v>
      </c>
      <c r="C250" s="915" t="str">
        <f t="shared" si="3"/>
        <v>10월</v>
      </c>
      <c r="D250" s="916" t="s">
        <v>3899</v>
      </c>
      <c r="E250" s="916"/>
      <c r="F250" s="916" t="s">
        <v>3900</v>
      </c>
      <c r="G250" s="915"/>
      <c r="H250" s="917">
        <v>850000</v>
      </c>
      <c r="I250" s="918"/>
      <c r="J250" s="917">
        <v>8400000</v>
      </c>
    </row>
    <row r="251" spans="1:10">
      <c r="A251" t="s">
        <v>3906</v>
      </c>
      <c r="B251" s="915" t="s">
        <v>3901</v>
      </c>
      <c r="C251" s="915" t="str">
        <f t="shared" si="3"/>
        <v>11월</v>
      </c>
      <c r="D251" s="916" t="s">
        <v>3902</v>
      </c>
      <c r="E251" s="916"/>
      <c r="F251" s="916" t="s">
        <v>3903</v>
      </c>
      <c r="G251" s="915"/>
      <c r="H251" s="917">
        <v>850000</v>
      </c>
      <c r="I251" s="918"/>
      <c r="J251" s="917">
        <v>9250000</v>
      </c>
    </row>
    <row r="252" spans="1:10">
      <c r="A252" t="s">
        <v>3906</v>
      </c>
      <c r="B252" s="915" t="s">
        <v>3864</v>
      </c>
      <c r="C252" s="915" t="str">
        <f t="shared" si="3"/>
        <v>12월</v>
      </c>
      <c r="D252" s="916" t="s">
        <v>3904</v>
      </c>
      <c r="E252" s="916"/>
      <c r="F252" s="916" t="s">
        <v>3905</v>
      </c>
      <c r="G252" s="915"/>
      <c r="H252" s="917">
        <v>850000</v>
      </c>
      <c r="I252" s="918"/>
      <c r="J252" s="917">
        <v>10100000</v>
      </c>
    </row>
    <row r="253" spans="1:10" ht="22.5">
      <c r="A253" t="s">
        <v>3921</v>
      </c>
      <c r="B253" s="915" t="s">
        <v>3739</v>
      </c>
      <c r="C253" s="915" t="str">
        <f t="shared" si="3"/>
        <v>5월</v>
      </c>
      <c r="D253" s="916" t="s">
        <v>3907</v>
      </c>
      <c r="E253" s="916"/>
      <c r="F253" s="916" t="s">
        <v>3908</v>
      </c>
      <c r="G253" s="915"/>
      <c r="H253" s="917">
        <v>2179560</v>
      </c>
      <c r="I253" s="918"/>
      <c r="J253" s="918"/>
    </row>
    <row r="254" spans="1:10" ht="22.5">
      <c r="A254" t="s">
        <v>3921</v>
      </c>
      <c r="B254" s="915" t="s">
        <v>3739</v>
      </c>
      <c r="C254" s="915" t="str">
        <f t="shared" si="3"/>
        <v>5월</v>
      </c>
      <c r="D254" s="916" t="s">
        <v>3907</v>
      </c>
      <c r="E254" s="916"/>
      <c r="F254" s="916" t="s">
        <v>3909</v>
      </c>
      <c r="G254" s="915"/>
      <c r="H254" s="917">
        <v>34774</v>
      </c>
      <c r="I254" s="918"/>
      <c r="J254" s="917">
        <v>2214334</v>
      </c>
    </row>
    <row r="255" spans="1:10" ht="22.5">
      <c r="A255" t="s">
        <v>3921</v>
      </c>
      <c r="B255" s="915" t="s">
        <v>3801</v>
      </c>
      <c r="C255" s="915" t="str">
        <f t="shared" si="3"/>
        <v>9월</v>
      </c>
      <c r="D255" s="916" t="s">
        <v>3910</v>
      </c>
      <c r="E255" s="916"/>
      <c r="F255" s="916" t="s">
        <v>3911</v>
      </c>
      <c r="G255" s="915"/>
      <c r="H255" s="917">
        <v>1980000</v>
      </c>
      <c r="I255" s="918"/>
      <c r="J255" s="917">
        <v>4194334</v>
      </c>
    </row>
    <row r="256" spans="1:10">
      <c r="A256" t="s">
        <v>3921</v>
      </c>
      <c r="B256" s="915" t="s">
        <v>3912</v>
      </c>
      <c r="C256" s="915" t="str">
        <f t="shared" si="3"/>
        <v>10월</v>
      </c>
      <c r="D256" s="916" t="s">
        <v>3913</v>
      </c>
      <c r="E256" s="916"/>
      <c r="F256" s="916" t="s">
        <v>3914</v>
      </c>
      <c r="G256" s="915"/>
      <c r="H256" s="917">
        <v>51879</v>
      </c>
      <c r="I256" s="918"/>
      <c r="J256" s="918"/>
    </row>
    <row r="257" spans="1:10">
      <c r="A257" t="s">
        <v>3921</v>
      </c>
      <c r="B257" s="915" t="s">
        <v>3912</v>
      </c>
      <c r="C257" s="915" t="str">
        <f t="shared" si="3"/>
        <v>10월</v>
      </c>
      <c r="D257" s="916" t="s">
        <v>3913</v>
      </c>
      <c r="E257" s="916"/>
      <c r="F257" s="916" t="s">
        <v>3915</v>
      </c>
      <c r="G257" s="915"/>
      <c r="H257" s="917">
        <v>33553</v>
      </c>
      <c r="I257" s="918"/>
      <c r="J257" s="918"/>
    </row>
    <row r="258" spans="1:10">
      <c r="A258" t="s">
        <v>3921</v>
      </c>
      <c r="B258" s="915" t="s">
        <v>3912</v>
      </c>
      <c r="C258" s="915" t="str">
        <f t="shared" si="3"/>
        <v>10월</v>
      </c>
      <c r="D258" s="916" t="s">
        <v>3913</v>
      </c>
      <c r="E258" s="916"/>
      <c r="F258" s="916" t="s">
        <v>3916</v>
      </c>
      <c r="G258" s="915"/>
      <c r="H258" s="917">
        <v>11339</v>
      </c>
      <c r="I258" s="918"/>
      <c r="J258" s="918"/>
    </row>
    <row r="259" spans="1:10">
      <c r="A259" t="s">
        <v>3921</v>
      </c>
      <c r="B259" s="915" t="s">
        <v>3912</v>
      </c>
      <c r="C259" s="915" t="str">
        <f t="shared" ref="C259:C322" si="4">MONTH(B259)&amp;"월"</f>
        <v>10월</v>
      </c>
      <c r="D259" s="916" t="s">
        <v>3913</v>
      </c>
      <c r="E259" s="916"/>
      <c r="F259" s="916" t="s">
        <v>3917</v>
      </c>
      <c r="G259" s="915"/>
      <c r="H259" s="917">
        <v>36000</v>
      </c>
      <c r="I259" s="918"/>
      <c r="J259" s="918"/>
    </row>
    <row r="260" spans="1:10">
      <c r="A260" t="s">
        <v>3921</v>
      </c>
      <c r="B260" s="915" t="s">
        <v>3912</v>
      </c>
      <c r="C260" s="915" t="str">
        <f t="shared" si="4"/>
        <v>10월</v>
      </c>
      <c r="D260" s="916" t="s">
        <v>3913</v>
      </c>
      <c r="E260" s="916"/>
      <c r="F260" s="916" t="s">
        <v>3918</v>
      </c>
      <c r="G260" s="915"/>
      <c r="H260" s="917">
        <v>14850</v>
      </c>
      <c r="I260" s="918"/>
      <c r="J260" s="918"/>
    </row>
    <row r="261" spans="1:10">
      <c r="A261" t="s">
        <v>3921</v>
      </c>
      <c r="B261" s="915" t="s">
        <v>3912</v>
      </c>
      <c r="C261" s="915" t="str">
        <f t="shared" si="4"/>
        <v>10월</v>
      </c>
      <c r="D261" s="916" t="s">
        <v>3913</v>
      </c>
      <c r="E261" s="916"/>
      <c r="F261" s="916" t="s">
        <v>3919</v>
      </c>
      <c r="G261" s="915"/>
      <c r="H261" s="917">
        <v>10000</v>
      </c>
      <c r="I261" s="918"/>
      <c r="J261" s="918"/>
    </row>
    <row r="262" spans="1:10">
      <c r="A262" t="s">
        <v>3921</v>
      </c>
      <c r="B262" s="915" t="s">
        <v>3912</v>
      </c>
      <c r="C262" s="915" t="str">
        <f t="shared" si="4"/>
        <v>10월</v>
      </c>
      <c r="D262" s="916" t="s">
        <v>3913</v>
      </c>
      <c r="E262" s="916"/>
      <c r="F262" s="916" t="s">
        <v>3920</v>
      </c>
      <c r="G262" s="915"/>
      <c r="H262" s="917">
        <v>12500</v>
      </c>
      <c r="I262" s="918"/>
      <c r="J262" s="917">
        <v>4364455</v>
      </c>
    </row>
    <row r="263" spans="1:10">
      <c r="A263" t="s">
        <v>4010</v>
      </c>
      <c r="B263" s="915" t="s">
        <v>3635</v>
      </c>
      <c r="C263" s="915" t="str">
        <f t="shared" si="4"/>
        <v>1월</v>
      </c>
      <c r="D263" s="916" t="s">
        <v>3922</v>
      </c>
      <c r="E263" s="916" t="s">
        <v>3923</v>
      </c>
      <c r="F263" s="916" t="s">
        <v>3924</v>
      </c>
      <c r="G263" s="915" t="s">
        <v>3925</v>
      </c>
      <c r="H263" s="917">
        <v>57200</v>
      </c>
      <c r="I263" s="918"/>
      <c r="J263" s="917">
        <v>57200</v>
      </c>
    </row>
    <row r="264" spans="1:10">
      <c r="A264" t="s">
        <v>4010</v>
      </c>
      <c r="B264" s="915" t="s">
        <v>3926</v>
      </c>
      <c r="C264" s="915" t="str">
        <f t="shared" si="4"/>
        <v>1월</v>
      </c>
      <c r="D264" s="916" t="s">
        <v>4771</v>
      </c>
      <c r="E264" s="916" t="s">
        <v>3927</v>
      </c>
      <c r="F264" s="916" t="s">
        <v>3928</v>
      </c>
      <c r="G264" s="915" t="s">
        <v>3929</v>
      </c>
      <c r="H264" s="917">
        <v>24000</v>
      </c>
      <c r="I264" s="918"/>
      <c r="J264" s="917">
        <v>81200</v>
      </c>
    </row>
    <row r="265" spans="1:10">
      <c r="A265" t="s">
        <v>4010</v>
      </c>
      <c r="B265" s="915" t="s">
        <v>3872</v>
      </c>
      <c r="C265" s="915" t="str">
        <f t="shared" si="4"/>
        <v>1월</v>
      </c>
      <c r="D265" s="916" t="s">
        <v>3930</v>
      </c>
      <c r="E265" s="916"/>
      <c r="F265" s="916" t="s">
        <v>3931</v>
      </c>
      <c r="G265" s="915"/>
      <c r="H265" s="917">
        <v>1190000</v>
      </c>
      <c r="I265" s="918"/>
      <c r="J265" s="917">
        <v>1271200</v>
      </c>
    </row>
    <row r="266" spans="1:10">
      <c r="A266" t="s">
        <v>4010</v>
      </c>
      <c r="B266" s="915" t="s">
        <v>3932</v>
      </c>
      <c r="C266" s="915" t="str">
        <f t="shared" si="4"/>
        <v>1월</v>
      </c>
      <c r="D266" s="916" t="s">
        <v>3933</v>
      </c>
      <c r="E266" s="916"/>
      <c r="F266" s="916" t="s">
        <v>3934</v>
      </c>
      <c r="G266" s="915"/>
      <c r="H266" s="917">
        <v>850000</v>
      </c>
      <c r="I266" s="918"/>
      <c r="J266" s="917">
        <v>2121200</v>
      </c>
    </row>
    <row r="267" spans="1:10">
      <c r="A267" t="s">
        <v>4010</v>
      </c>
      <c r="B267" s="915" t="s">
        <v>3604</v>
      </c>
      <c r="C267" s="915" t="str">
        <f t="shared" si="4"/>
        <v>2월</v>
      </c>
      <c r="D267" s="916" t="s">
        <v>3935</v>
      </c>
      <c r="E267" s="916"/>
      <c r="F267" s="916" t="s">
        <v>3936</v>
      </c>
      <c r="G267" s="915"/>
      <c r="H267" s="917">
        <v>261000</v>
      </c>
      <c r="I267" s="918"/>
      <c r="J267" s="918"/>
    </row>
    <row r="268" spans="1:10">
      <c r="A268" t="s">
        <v>4010</v>
      </c>
      <c r="B268" s="915" t="s">
        <v>3604</v>
      </c>
      <c r="C268" s="915" t="str">
        <f t="shared" si="4"/>
        <v>2월</v>
      </c>
      <c r="D268" s="916" t="s">
        <v>3935</v>
      </c>
      <c r="E268" s="916"/>
      <c r="F268" s="916" t="s">
        <v>3731</v>
      </c>
      <c r="G268" s="915"/>
      <c r="H268" s="917">
        <v>237400</v>
      </c>
      <c r="I268" s="918"/>
      <c r="J268" s="917">
        <v>2619600</v>
      </c>
    </row>
    <row r="269" spans="1:10">
      <c r="A269" t="s">
        <v>4010</v>
      </c>
      <c r="B269" s="915" t="s">
        <v>3875</v>
      </c>
      <c r="C269" s="915" t="str">
        <f t="shared" si="4"/>
        <v>2월</v>
      </c>
      <c r="D269" s="916" t="s">
        <v>3937</v>
      </c>
      <c r="E269" s="916"/>
      <c r="F269" s="916" t="s">
        <v>3938</v>
      </c>
      <c r="G269" s="915"/>
      <c r="H269" s="917">
        <v>1050000</v>
      </c>
      <c r="I269" s="918"/>
      <c r="J269" s="917">
        <v>3669600</v>
      </c>
    </row>
    <row r="270" spans="1:10">
      <c r="A270" t="s">
        <v>4010</v>
      </c>
      <c r="B270" s="915" t="s">
        <v>3687</v>
      </c>
      <c r="C270" s="915" t="str">
        <f t="shared" si="4"/>
        <v>2월</v>
      </c>
      <c r="D270" s="916" t="s">
        <v>3939</v>
      </c>
      <c r="E270" s="916"/>
      <c r="F270" s="916" t="s">
        <v>3940</v>
      </c>
      <c r="G270" s="915"/>
      <c r="H270" s="917">
        <v>138000</v>
      </c>
      <c r="I270" s="918"/>
      <c r="J270" s="918"/>
    </row>
    <row r="271" spans="1:10">
      <c r="A271" t="s">
        <v>4010</v>
      </c>
      <c r="B271" s="915" t="s">
        <v>3687</v>
      </c>
      <c r="C271" s="915" t="str">
        <f t="shared" si="4"/>
        <v>2월</v>
      </c>
      <c r="D271" s="916" t="s">
        <v>3941</v>
      </c>
      <c r="E271" s="916"/>
      <c r="F271" s="916" t="s">
        <v>3942</v>
      </c>
      <c r="G271" s="915"/>
      <c r="H271" s="917">
        <v>27000</v>
      </c>
      <c r="I271" s="918"/>
      <c r="J271" s="917">
        <v>3834600</v>
      </c>
    </row>
    <row r="272" spans="1:10">
      <c r="A272" t="s">
        <v>4010</v>
      </c>
      <c r="B272" s="915" t="s">
        <v>3696</v>
      </c>
      <c r="C272" s="915" t="str">
        <f t="shared" si="4"/>
        <v>3월</v>
      </c>
      <c r="D272" s="916" t="s">
        <v>3943</v>
      </c>
      <c r="E272" s="916"/>
      <c r="F272" s="916" t="s">
        <v>3600</v>
      </c>
      <c r="G272" s="915"/>
      <c r="H272" s="917">
        <v>36560</v>
      </c>
      <c r="I272" s="918"/>
      <c r="J272" s="918"/>
    </row>
    <row r="273" spans="1:10">
      <c r="A273" t="s">
        <v>4010</v>
      </c>
      <c r="B273" s="915" t="s">
        <v>3696</v>
      </c>
      <c r="C273" s="915" t="str">
        <f t="shared" si="4"/>
        <v>3월</v>
      </c>
      <c r="D273" s="916" t="s">
        <v>3943</v>
      </c>
      <c r="E273" s="916"/>
      <c r="F273" s="916" t="s">
        <v>3942</v>
      </c>
      <c r="G273" s="915"/>
      <c r="H273" s="917">
        <v>9700</v>
      </c>
      <c r="I273" s="918"/>
      <c r="J273" s="917">
        <v>3880860</v>
      </c>
    </row>
    <row r="274" spans="1:10">
      <c r="A274" t="s">
        <v>4010</v>
      </c>
      <c r="B274" s="915" t="s">
        <v>3878</v>
      </c>
      <c r="C274" s="915" t="str">
        <f t="shared" si="4"/>
        <v>3월</v>
      </c>
      <c r="D274" s="916" t="s">
        <v>3944</v>
      </c>
      <c r="E274" s="916"/>
      <c r="F274" s="916" t="s">
        <v>3945</v>
      </c>
      <c r="G274" s="915"/>
      <c r="H274" s="917">
        <v>1120000</v>
      </c>
      <c r="I274" s="918"/>
      <c r="J274" s="917">
        <v>5000860</v>
      </c>
    </row>
    <row r="275" spans="1:10">
      <c r="A275" t="s">
        <v>4010</v>
      </c>
      <c r="B275" s="915" t="s">
        <v>3946</v>
      </c>
      <c r="C275" s="915" t="str">
        <f t="shared" si="4"/>
        <v>3월</v>
      </c>
      <c r="D275" s="916" t="s">
        <v>3947</v>
      </c>
      <c r="E275" s="916"/>
      <c r="F275" s="916"/>
      <c r="G275" s="915"/>
      <c r="H275" s="917">
        <v>-1153676</v>
      </c>
      <c r="I275" s="918"/>
      <c r="J275" s="917">
        <v>3847184</v>
      </c>
    </row>
    <row r="276" spans="1:10">
      <c r="A276" t="s">
        <v>4010</v>
      </c>
      <c r="B276" s="915" t="s">
        <v>3711</v>
      </c>
      <c r="C276" s="915" t="str">
        <f t="shared" si="4"/>
        <v>4월</v>
      </c>
      <c r="D276" s="916" t="s">
        <v>3948</v>
      </c>
      <c r="E276" s="916"/>
      <c r="F276" s="916" t="s">
        <v>3713</v>
      </c>
      <c r="G276" s="915"/>
      <c r="H276" s="917">
        <v>-829864</v>
      </c>
      <c r="I276" s="918"/>
      <c r="J276" s="917">
        <v>3017320</v>
      </c>
    </row>
    <row r="277" spans="1:10">
      <c r="A277" t="s">
        <v>4010</v>
      </c>
      <c r="B277" s="915" t="s">
        <v>3949</v>
      </c>
      <c r="C277" s="915" t="str">
        <f t="shared" si="4"/>
        <v>4월</v>
      </c>
      <c r="D277" s="916" t="s">
        <v>3950</v>
      </c>
      <c r="E277" s="916" t="s">
        <v>3951</v>
      </c>
      <c r="F277" s="916" t="s">
        <v>3952</v>
      </c>
      <c r="G277" s="915" t="s">
        <v>3953</v>
      </c>
      <c r="H277" s="917">
        <v>10500</v>
      </c>
      <c r="I277" s="918"/>
      <c r="J277" s="917">
        <v>3027820</v>
      </c>
    </row>
    <row r="278" spans="1:10">
      <c r="A278" t="s">
        <v>4010</v>
      </c>
      <c r="B278" s="915" t="s">
        <v>3881</v>
      </c>
      <c r="C278" s="915" t="str">
        <f t="shared" si="4"/>
        <v>4월</v>
      </c>
      <c r="D278" s="916" t="s">
        <v>3954</v>
      </c>
      <c r="E278" s="916"/>
      <c r="F278" s="916" t="s">
        <v>3955</v>
      </c>
      <c r="G278" s="915"/>
      <c r="H278" s="917">
        <v>1120000</v>
      </c>
      <c r="I278" s="918"/>
      <c r="J278" s="917">
        <v>4147820</v>
      </c>
    </row>
    <row r="279" spans="1:10">
      <c r="A279" t="s">
        <v>4010</v>
      </c>
      <c r="B279" s="915" t="s">
        <v>3725</v>
      </c>
      <c r="C279" s="915" t="str">
        <f t="shared" si="4"/>
        <v>4월</v>
      </c>
      <c r="D279" s="916" t="s">
        <v>3956</v>
      </c>
      <c r="E279" s="916"/>
      <c r="F279" s="916" t="s">
        <v>3726</v>
      </c>
      <c r="G279" s="915"/>
      <c r="H279" s="917">
        <v>72500</v>
      </c>
      <c r="I279" s="918"/>
      <c r="J279" s="917">
        <v>4220320</v>
      </c>
    </row>
    <row r="280" spans="1:10">
      <c r="A280" t="s">
        <v>4010</v>
      </c>
      <c r="B280" s="915" t="s">
        <v>3884</v>
      </c>
      <c r="C280" s="915" t="str">
        <f t="shared" si="4"/>
        <v>5월</v>
      </c>
      <c r="D280" s="916" t="s">
        <v>3957</v>
      </c>
      <c r="E280" s="916"/>
      <c r="F280" s="916" t="s">
        <v>3958</v>
      </c>
      <c r="G280" s="915"/>
      <c r="H280" s="917">
        <v>1120000</v>
      </c>
      <c r="I280" s="918"/>
      <c r="J280" s="917">
        <v>5340320</v>
      </c>
    </row>
    <row r="281" spans="1:10" ht="22.5">
      <c r="A281" t="s">
        <v>4010</v>
      </c>
      <c r="B281" s="915" t="s">
        <v>3959</v>
      </c>
      <c r="C281" s="915" t="str">
        <f t="shared" si="4"/>
        <v>6월</v>
      </c>
      <c r="D281" s="916" t="s">
        <v>3960</v>
      </c>
      <c r="E281" s="916"/>
      <c r="F281" s="916" t="s">
        <v>3961</v>
      </c>
      <c r="G281" s="915"/>
      <c r="H281" s="917">
        <v>-5000000</v>
      </c>
      <c r="I281" s="918"/>
      <c r="J281" s="917">
        <v>340320</v>
      </c>
    </row>
    <row r="282" spans="1:10">
      <c r="A282" t="s">
        <v>4010</v>
      </c>
      <c r="B282" s="915" t="s">
        <v>3887</v>
      </c>
      <c r="C282" s="915" t="str">
        <f t="shared" si="4"/>
        <v>6월</v>
      </c>
      <c r="D282" s="916" t="s">
        <v>3957</v>
      </c>
      <c r="E282" s="916"/>
      <c r="F282" s="916" t="s">
        <v>3962</v>
      </c>
      <c r="G282" s="915"/>
      <c r="H282" s="917">
        <v>1050000</v>
      </c>
      <c r="I282" s="918"/>
      <c r="J282" s="917">
        <v>1390320</v>
      </c>
    </row>
    <row r="283" spans="1:10">
      <c r="A283" t="s">
        <v>4010</v>
      </c>
      <c r="B283" s="915" t="s">
        <v>3754</v>
      </c>
      <c r="C283" s="915" t="str">
        <f t="shared" si="4"/>
        <v>6월</v>
      </c>
      <c r="D283" s="916" t="s">
        <v>3963</v>
      </c>
      <c r="E283" s="916"/>
      <c r="F283" s="916" t="s">
        <v>3928</v>
      </c>
      <c r="G283" s="915"/>
      <c r="H283" s="917">
        <v>24000</v>
      </c>
      <c r="I283" s="918"/>
      <c r="J283" s="917">
        <v>1414320</v>
      </c>
    </row>
    <row r="284" spans="1:10">
      <c r="A284" t="s">
        <v>4010</v>
      </c>
      <c r="B284" s="915" t="s">
        <v>3613</v>
      </c>
      <c r="C284" s="915" t="str">
        <f t="shared" si="4"/>
        <v>6월</v>
      </c>
      <c r="D284" s="916" t="s">
        <v>3964</v>
      </c>
      <c r="E284" s="916"/>
      <c r="F284" s="916" t="s">
        <v>3679</v>
      </c>
      <c r="G284" s="915"/>
      <c r="H284" s="917">
        <v>178000</v>
      </c>
      <c r="I284" s="918"/>
      <c r="J284" s="918"/>
    </row>
    <row r="285" spans="1:10">
      <c r="A285" t="s">
        <v>4010</v>
      </c>
      <c r="B285" s="915" t="s">
        <v>3613</v>
      </c>
      <c r="C285" s="915" t="str">
        <f t="shared" si="4"/>
        <v>6월</v>
      </c>
      <c r="D285" s="916" t="s">
        <v>3964</v>
      </c>
      <c r="E285" s="916"/>
      <c r="F285" s="916" t="s">
        <v>3610</v>
      </c>
      <c r="G285" s="915"/>
      <c r="H285" s="917">
        <v>36900</v>
      </c>
      <c r="I285" s="918"/>
      <c r="J285" s="918"/>
    </row>
    <row r="286" spans="1:10">
      <c r="A286" t="s">
        <v>4010</v>
      </c>
      <c r="B286" s="915" t="s">
        <v>3613</v>
      </c>
      <c r="C286" s="915" t="str">
        <f t="shared" si="4"/>
        <v>6월</v>
      </c>
      <c r="D286" s="916" t="s">
        <v>3964</v>
      </c>
      <c r="E286" s="916"/>
      <c r="F286" s="916" t="s">
        <v>3610</v>
      </c>
      <c r="G286" s="915"/>
      <c r="H286" s="917">
        <v>2400</v>
      </c>
      <c r="I286" s="918"/>
      <c r="J286" s="917">
        <v>1631620</v>
      </c>
    </row>
    <row r="287" spans="1:10">
      <c r="A287" t="s">
        <v>4010</v>
      </c>
      <c r="B287" s="915" t="s">
        <v>3965</v>
      </c>
      <c r="C287" s="915" t="str">
        <f t="shared" si="4"/>
        <v>7월</v>
      </c>
      <c r="D287" s="916" t="s">
        <v>3966</v>
      </c>
      <c r="E287" s="916"/>
      <c r="F287" s="916" t="s">
        <v>3610</v>
      </c>
      <c r="G287" s="915"/>
      <c r="H287" s="917">
        <v>21400</v>
      </c>
      <c r="I287" s="918"/>
      <c r="J287" s="918"/>
    </row>
    <row r="288" spans="1:10">
      <c r="A288" t="s">
        <v>4010</v>
      </c>
      <c r="B288" s="915" t="s">
        <v>3965</v>
      </c>
      <c r="C288" s="915" t="str">
        <f t="shared" si="4"/>
        <v>7월</v>
      </c>
      <c r="D288" s="916" t="s">
        <v>3966</v>
      </c>
      <c r="E288" s="916"/>
      <c r="F288" s="916" t="s">
        <v>3800</v>
      </c>
      <c r="G288" s="915"/>
      <c r="H288" s="917">
        <v>86000</v>
      </c>
      <c r="I288" s="918"/>
      <c r="J288" s="918"/>
    </row>
    <row r="289" spans="1:10">
      <c r="A289" t="s">
        <v>4010</v>
      </c>
      <c r="B289" s="915" t="s">
        <v>3965</v>
      </c>
      <c r="C289" s="915" t="str">
        <f t="shared" si="4"/>
        <v>7월</v>
      </c>
      <c r="D289" s="916" t="s">
        <v>3966</v>
      </c>
      <c r="E289" s="916"/>
      <c r="F289" s="916" t="s">
        <v>3610</v>
      </c>
      <c r="G289" s="915"/>
      <c r="H289" s="917">
        <v>19900</v>
      </c>
      <c r="I289" s="918"/>
      <c r="J289" s="917">
        <v>1758920</v>
      </c>
    </row>
    <row r="290" spans="1:10">
      <c r="A290" t="s">
        <v>4010</v>
      </c>
      <c r="B290" s="915" t="s">
        <v>3889</v>
      </c>
      <c r="C290" s="915" t="str">
        <f t="shared" si="4"/>
        <v>7월</v>
      </c>
      <c r="D290" s="916" t="s">
        <v>3967</v>
      </c>
      <c r="E290" s="916"/>
      <c r="F290" s="916" t="s">
        <v>3968</v>
      </c>
      <c r="G290" s="915"/>
      <c r="H290" s="917">
        <v>1050000</v>
      </c>
      <c r="I290" s="918"/>
      <c r="J290" s="917">
        <v>2808920</v>
      </c>
    </row>
    <row r="291" spans="1:10">
      <c r="A291" t="s">
        <v>4010</v>
      </c>
      <c r="B291" s="915" t="s">
        <v>3969</v>
      </c>
      <c r="C291" s="915" t="str">
        <f t="shared" si="4"/>
        <v>7월</v>
      </c>
      <c r="D291" s="916" t="s">
        <v>3963</v>
      </c>
      <c r="E291" s="916"/>
      <c r="F291" s="916" t="s">
        <v>3928</v>
      </c>
      <c r="G291" s="915"/>
      <c r="H291" s="917">
        <v>30000</v>
      </c>
      <c r="I291" s="918"/>
      <c r="J291" s="917">
        <v>2838920</v>
      </c>
    </row>
    <row r="292" spans="1:10">
      <c r="A292" t="s">
        <v>4010</v>
      </c>
      <c r="B292" s="915" t="s">
        <v>3892</v>
      </c>
      <c r="C292" s="915" t="str">
        <f t="shared" si="4"/>
        <v>8월</v>
      </c>
      <c r="D292" s="916" t="s">
        <v>3970</v>
      </c>
      <c r="E292" s="916"/>
      <c r="F292" s="916" t="s">
        <v>3971</v>
      </c>
      <c r="G292" s="915"/>
      <c r="H292" s="917">
        <v>1190000</v>
      </c>
      <c r="I292" s="918"/>
      <c r="J292" s="917">
        <v>4028920</v>
      </c>
    </row>
    <row r="293" spans="1:10">
      <c r="A293" t="s">
        <v>4010</v>
      </c>
      <c r="B293" s="915" t="s">
        <v>3972</v>
      </c>
      <c r="C293" s="915" t="str">
        <f t="shared" si="4"/>
        <v>9월</v>
      </c>
      <c r="D293" s="916" t="s">
        <v>3973</v>
      </c>
      <c r="E293" s="916"/>
      <c r="F293" s="916" t="s">
        <v>3851</v>
      </c>
      <c r="G293" s="915"/>
      <c r="H293" s="917">
        <v>7000</v>
      </c>
      <c r="I293" s="918"/>
      <c r="J293" s="917">
        <v>4035920</v>
      </c>
    </row>
    <row r="294" spans="1:10">
      <c r="A294" t="s">
        <v>4010</v>
      </c>
      <c r="B294" s="915" t="s">
        <v>3974</v>
      </c>
      <c r="C294" s="915" t="str">
        <f t="shared" si="4"/>
        <v>9월</v>
      </c>
      <c r="D294" s="916" t="s">
        <v>3975</v>
      </c>
      <c r="E294" s="916"/>
      <c r="F294" s="916"/>
      <c r="G294" s="915"/>
      <c r="H294" s="917">
        <v>122820</v>
      </c>
      <c r="I294" s="918"/>
      <c r="J294" s="918"/>
    </row>
    <row r="295" spans="1:10">
      <c r="A295" t="s">
        <v>4010</v>
      </c>
      <c r="B295" s="915" t="s">
        <v>3974</v>
      </c>
      <c r="C295" s="915" t="str">
        <f t="shared" si="4"/>
        <v>9월</v>
      </c>
      <c r="D295" s="916" t="s">
        <v>3976</v>
      </c>
      <c r="E295" s="916"/>
      <c r="F295" s="916"/>
      <c r="G295" s="915"/>
      <c r="H295" s="917">
        <v>5000</v>
      </c>
      <c r="I295" s="918"/>
      <c r="J295" s="917">
        <v>4163740</v>
      </c>
    </row>
    <row r="296" spans="1:10">
      <c r="A296" t="s">
        <v>4010</v>
      </c>
      <c r="B296" s="915" t="s">
        <v>3787</v>
      </c>
      <c r="C296" s="915" t="str">
        <f t="shared" si="4"/>
        <v>9월</v>
      </c>
      <c r="D296" s="916" t="s">
        <v>3933</v>
      </c>
      <c r="E296" s="916"/>
      <c r="F296" s="916" t="s">
        <v>3977</v>
      </c>
      <c r="G296" s="915"/>
      <c r="H296" s="917">
        <v>900000</v>
      </c>
      <c r="I296" s="918"/>
      <c r="J296" s="917">
        <v>5063740</v>
      </c>
    </row>
    <row r="297" spans="1:10">
      <c r="A297" t="s">
        <v>4010</v>
      </c>
      <c r="B297" s="915" t="s">
        <v>3616</v>
      </c>
      <c r="C297" s="915" t="str">
        <f t="shared" si="4"/>
        <v>9월</v>
      </c>
      <c r="D297" s="916" t="s">
        <v>3978</v>
      </c>
      <c r="E297" s="916"/>
      <c r="F297" s="916" t="s">
        <v>3940</v>
      </c>
      <c r="G297" s="915"/>
      <c r="H297" s="917">
        <v>117000</v>
      </c>
      <c r="I297" s="918"/>
      <c r="J297" s="918"/>
    </row>
    <row r="298" spans="1:10">
      <c r="A298" t="s">
        <v>4010</v>
      </c>
      <c r="B298" s="915" t="s">
        <v>3616</v>
      </c>
      <c r="C298" s="915" t="str">
        <f t="shared" si="4"/>
        <v>9월</v>
      </c>
      <c r="D298" s="916" t="s">
        <v>3978</v>
      </c>
      <c r="E298" s="916"/>
      <c r="F298" s="916" t="s">
        <v>3979</v>
      </c>
      <c r="G298" s="915"/>
      <c r="H298" s="917">
        <v>45000</v>
      </c>
      <c r="I298" s="918"/>
      <c r="J298" s="918"/>
    </row>
    <row r="299" spans="1:10">
      <c r="A299" t="s">
        <v>4010</v>
      </c>
      <c r="B299" s="915" t="s">
        <v>3616</v>
      </c>
      <c r="C299" s="915" t="str">
        <f t="shared" si="4"/>
        <v>9월</v>
      </c>
      <c r="D299" s="916" t="s">
        <v>3978</v>
      </c>
      <c r="E299" s="916"/>
      <c r="F299" s="916" t="s">
        <v>3980</v>
      </c>
      <c r="G299" s="915"/>
      <c r="H299" s="917">
        <v>15000</v>
      </c>
      <c r="I299" s="918"/>
      <c r="J299" s="918"/>
    </row>
    <row r="300" spans="1:10">
      <c r="A300" t="s">
        <v>4010</v>
      </c>
      <c r="B300" s="915" t="s">
        <v>3616</v>
      </c>
      <c r="C300" s="915" t="str">
        <f t="shared" si="4"/>
        <v>9월</v>
      </c>
      <c r="D300" s="916" t="s">
        <v>3978</v>
      </c>
      <c r="E300" s="916"/>
      <c r="F300" s="916" t="s">
        <v>3600</v>
      </c>
      <c r="G300" s="915"/>
      <c r="H300" s="917">
        <v>17800</v>
      </c>
      <c r="I300" s="918"/>
      <c r="J300" s="918"/>
    </row>
    <row r="301" spans="1:10">
      <c r="A301" t="s">
        <v>4010</v>
      </c>
      <c r="B301" s="915" t="s">
        <v>3616</v>
      </c>
      <c r="C301" s="915" t="str">
        <f t="shared" si="4"/>
        <v>9월</v>
      </c>
      <c r="D301" s="916" t="s">
        <v>3978</v>
      </c>
      <c r="E301" s="916"/>
      <c r="F301" s="916" t="s">
        <v>3610</v>
      </c>
      <c r="G301" s="915"/>
      <c r="H301" s="917">
        <v>67700</v>
      </c>
      <c r="I301" s="918"/>
      <c r="J301" s="918"/>
    </row>
    <row r="302" spans="1:10">
      <c r="A302" t="s">
        <v>4010</v>
      </c>
      <c r="B302" s="915" t="s">
        <v>3616</v>
      </c>
      <c r="C302" s="915" t="str">
        <f t="shared" si="4"/>
        <v>9월</v>
      </c>
      <c r="D302" s="916" t="s">
        <v>3981</v>
      </c>
      <c r="E302" s="916"/>
      <c r="F302" s="916" t="s">
        <v>3982</v>
      </c>
      <c r="G302" s="915"/>
      <c r="H302" s="917">
        <v>168300</v>
      </c>
      <c r="I302" s="918"/>
      <c r="J302" s="918"/>
    </row>
    <row r="303" spans="1:10">
      <c r="A303" t="s">
        <v>4010</v>
      </c>
      <c r="B303" s="915" t="s">
        <v>3616</v>
      </c>
      <c r="C303" s="915" t="str">
        <f t="shared" si="4"/>
        <v>9월</v>
      </c>
      <c r="D303" s="916" t="s">
        <v>3963</v>
      </c>
      <c r="E303" s="916"/>
      <c r="F303" s="916" t="s">
        <v>3928</v>
      </c>
      <c r="G303" s="915"/>
      <c r="H303" s="917">
        <v>30000</v>
      </c>
      <c r="I303" s="918"/>
      <c r="J303" s="917">
        <v>5524540</v>
      </c>
    </row>
    <row r="304" spans="1:10">
      <c r="A304" t="s">
        <v>4010</v>
      </c>
      <c r="B304" s="915" t="s">
        <v>3895</v>
      </c>
      <c r="C304" s="915" t="str">
        <f t="shared" si="4"/>
        <v>9월</v>
      </c>
      <c r="D304" s="916" t="s">
        <v>3983</v>
      </c>
      <c r="E304" s="916"/>
      <c r="F304" s="916" t="s">
        <v>3984</v>
      </c>
      <c r="G304" s="915"/>
      <c r="H304" s="917">
        <v>1260000</v>
      </c>
      <c r="I304" s="918"/>
      <c r="J304" s="917">
        <v>6784540</v>
      </c>
    </row>
    <row r="305" spans="1:10">
      <c r="A305" t="s">
        <v>4010</v>
      </c>
      <c r="B305" s="915" t="s">
        <v>3811</v>
      </c>
      <c r="C305" s="915" t="str">
        <f t="shared" si="4"/>
        <v>10월</v>
      </c>
      <c r="D305" s="916" t="s">
        <v>3985</v>
      </c>
      <c r="E305" s="916"/>
      <c r="F305" s="916" t="s">
        <v>3928</v>
      </c>
      <c r="G305" s="915"/>
      <c r="H305" s="917">
        <v>12000</v>
      </c>
      <c r="I305" s="918"/>
      <c r="J305" s="918"/>
    </row>
    <row r="306" spans="1:10">
      <c r="A306" t="s">
        <v>4010</v>
      </c>
      <c r="B306" s="915" t="s">
        <v>3811</v>
      </c>
      <c r="C306" s="915" t="str">
        <f t="shared" si="4"/>
        <v>10월</v>
      </c>
      <c r="D306" s="916" t="s">
        <v>3985</v>
      </c>
      <c r="E306" s="916"/>
      <c r="F306" s="916" t="s">
        <v>3986</v>
      </c>
      <c r="G306" s="915"/>
      <c r="H306" s="917">
        <v>13000</v>
      </c>
      <c r="I306" s="918"/>
      <c r="J306" s="917">
        <v>6809540</v>
      </c>
    </row>
    <row r="307" spans="1:10">
      <c r="A307" t="s">
        <v>4010</v>
      </c>
      <c r="B307" s="915" t="s">
        <v>3898</v>
      </c>
      <c r="C307" s="915" t="str">
        <f t="shared" si="4"/>
        <v>10월</v>
      </c>
      <c r="D307" s="916" t="s">
        <v>3987</v>
      </c>
      <c r="E307" s="916"/>
      <c r="F307" s="916" t="s">
        <v>3988</v>
      </c>
      <c r="G307" s="915"/>
      <c r="H307" s="917">
        <v>1190000</v>
      </c>
      <c r="I307" s="918"/>
      <c r="J307" s="917">
        <v>7999540</v>
      </c>
    </row>
    <row r="308" spans="1:10">
      <c r="A308" t="s">
        <v>4010</v>
      </c>
      <c r="B308" s="915" t="s">
        <v>3824</v>
      </c>
      <c r="C308" s="915" t="str">
        <f t="shared" si="4"/>
        <v>10월</v>
      </c>
      <c r="D308" s="916" t="s">
        <v>3963</v>
      </c>
      <c r="E308" s="916"/>
      <c r="F308" s="916" t="s">
        <v>3928</v>
      </c>
      <c r="G308" s="915"/>
      <c r="H308" s="917">
        <v>12000</v>
      </c>
      <c r="I308" s="918"/>
      <c r="J308" s="917">
        <v>8011540</v>
      </c>
    </row>
    <row r="309" spans="1:10">
      <c r="A309" t="s">
        <v>4010</v>
      </c>
      <c r="B309" s="915" t="s">
        <v>3828</v>
      </c>
      <c r="C309" s="915" t="str">
        <f t="shared" si="4"/>
        <v>11월</v>
      </c>
      <c r="D309" s="916" t="s">
        <v>3989</v>
      </c>
      <c r="E309" s="916" t="s">
        <v>3923</v>
      </c>
      <c r="F309" s="916" t="s">
        <v>3924</v>
      </c>
      <c r="G309" s="915" t="s">
        <v>3925</v>
      </c>
      <c r="H309" s="917">
        <v>57200</v>
      </c>
      <c r="I309" s="918"/>
      <c r="J309" s="918"/>
    </row>
    <row r="310" spans="1:10">
      <c r="A310" t="s">
        <v>4010</v>
      </c>
      <c r="B310" s="915" t="s">
        <v>3828</v>
      </c>
      <c r="C310" s="915" t="str">
        <f t="shared" si="4"/>
        <v>11월</v>
      </c>
      <c r="D310" s="916" t="s">
        <v>3990</v>
      </c>
      <c r="E310" s="916"/>
      <c r="F310" s="916"/>
      <c r="G310" s="915"/>
      <c r="H310" s="917">
        <v>-2600000</v>
      </c>
      <c r="I310" s="918"/>
      <c r="J310" s="917">
        <v>5468740</v>
      </c>
    </row>
    <row r="311" spans="1:10">
      <c r="A311" t="s">
        <v>4010</v>
      </c>
      <c r="B311" s="915" t="s">
        <v>3991</v>
      </c>
      <c r="C311" s="915" t="str">
        <f t="shared" si="4"/>
        <v>11월</v>
      </c>
      <c r="D311" s="916" t="s">
        <v>3992</v>
      </c>
      <c r="E311" s="916"/>
      <c r="F311" s="916" t="s">
        <v>3600</v>
      </c>
      <c r="G311" s="915"/>
      <c r="H311" s="917">
        <v>50780</v>
      </c>
      <c r="I311" s="918"/>
      <c r="J311" s="917">
        <v>5519520</v>
      </c>
    </row>
    <row r="312" spans="1:10">
      <c r="A312" t="s">
        <v>4010</v>
      </c>
      <c r="B312" s="915" t="s">
        <v>3624</v>
      </c>
      <c r="C312" s="915" t="str">
        <f t="shared" si="4"/>
        <v>11월</v>
      </c>
      <c r="D312" s="916" t="s">
        <v>3993</v>
      </c>
      <c r="E312" s="916"/>
      <c r="F312" s="916"/>
      <c r="G312" s="915"/>
      <c r="H312" s="917">
        <v>-38180</v>
      </c>
      <c r="I312" s="918"/>
      <c r="J312" s="917">
        <v>5481340</v>
      </c>
    </row>
    <row r="313" spans="1:10">
      <c r="A313" t="s">
        <v>4010</v>
      </c>
      <c r="B313" s="915" t="s">
        <v>3901</v>
      </c>
      <c r="C313" s="915" t="str">
        <f t="shared" si="4"/>
        <v>11월</v>
      </c>
      <c r="D313" s="916" t="s">
        <v>3994</v>
      </c>
      <c r="E313" s="916"/>
      <c r="F313" s="916" t="s">
        <v>3995</v>
      </c>
      <c r="G313" s="915"/>
      <c r="H313" s="917">
        <v>1094550</v>
      </c>
      <c r="I313" s="918"/>
      <c r="J313" s="917">
        <v>6575890</v>
      </c>
    </row>
    <row r="314" spans="1:10">
      <c r="A314" t="s">
        <v>4010</v>
      </c>
      <c r="B314" s="915" t="s">
        <v>3996</v>
      </c>
      <c r="C314" s="915" t="str">
        <f t="shared" si="4"/>
        <v>11월</v>
      </c>
      <c r="D314" s="916" t="s">
        <v>3963</v>
      </c>
      <c r="E314" s="916"/>
      <c r="F314" s="916" t="s">
        <v>3928</v>
      </c>
      <c r="G314" s="915"/>
      <c r="H314" s="917">
        <v>30000</v>
      </c>
      <c r="I314" s="918"/>
      <c r="J314" s="917">
        <v>6605890</v>
      </c>
    </row>
    <row r="315" spans="1:10">
      <c r="A315" t="s">
        <v>4010</v>
      </c>
      <c r="B315" s="915" t="s">
        <v>3997</v>
      </c>
      <c r="C315" s="915" t="str">
        <f t="shared" si="4"/>
        <v>12월</v>
      </c>
      <c r="D315" s="916" t="s">
        <v>3998</v>
      </c>
      <c r="E315" s="916"/>
      <c r="F315" s="916"/>
      <c r="G315" s="915"/>
      <c r="H315" s="917">
        <v>-2819520</v>
      </c>
      <c r="I315" s="918"/>
      <c r="J315" s="917">
        <v>3786370</v>
      </c>
    </row>
    <row r="316" spans="1:10">
      <c r="A316" t="s">
        <v>4010</v>
      </c>
      <c r="B316" s="915" t="s">
        <v>3852</v>
      </c>
      <c r="C316" s="915" t="str">
        <f t="shared" si="4"/>
        <v>12월</v>
      </c>
      <c r="D316" s="916" t="s">
        <v>3999</v>
      </c>
      <c r="E316" s="916"/>
      <c r="F316" s="916"/>
      <c r="G316" s="915"/>
      <c r="H316" s="917">
        <v>-895589</v>
      </c>
      <c r="I316" s="918"/>
      <c r="J316" s="917">
        <v>2890781</v>
      </c>
    </row>
    <row r="317" spans="1:10">
      <c r="A317" t="s">
        <v>4010</v>
      </c>
      <c r="B317" s="915" t="s">
        <v>4000</v>
      </c>
      <c r="C317" s="915" t="str">
        <f t="shared" si="4"/>
        <v>12월</v>
      </c>
      <c r="D317" s="916" t="s">
        <v>4001</v>
      </c>
      <c r="E317" s="916"/>
      <c r="F317" s="916" t="s">
        <v>3679</v>
      </c>
      <c r="G317" s="915"/>
      <c r="H317" s="917">
        <v>34000</v>
      </c>
      <c r="I317" s="918"/>
      <c r="J317" s="918"/>
    </row>
    <row r="318" spans="1:10">
      <c r="A318" t="s">
        <v>4010</v>
      </c>
      <c r="B318" s="915" t="s">
        <v>4000</v>
      </c>
      <c r="C318" s="915" t="str">
        <f t="shared" si="4"/>
        <v>12월</v>
      </c>
      <c r="D318" s="916" t="s">
        <v>4001</v>
      </c>
      <c r="E318" s="916"/>
      <c r="F318" s="916" t="s">
        <v>4002</v>
      </c>
      <c r="G318" s="915"/>
      <c r="H318" s="917">
        <v>5000</v>
      </c>
      <c r="I318" s="918"/>
      <c r="J318" s="917">
        <v>2929781</v>
      </c>
    </row>
    <row r="319" spans="1:10">
      <c r="A319" t="s">
        <v>4010</v>
      </c>
      <c r="B319" s="915" t="s">
        <v>3864</v>
      </c>
      <c r="C319" s="915" t="str">
        <f t="shared" si="4"/>
        <v>12월</v>
      </c>
      <c r="D319" s="916" t="s">
        <v>4003</v>
      </c>
      <c r="E319" s="916"/>
      <c r="F319" s="916" t="s">
        <v>4004</v>
      </c>
      <c r="G319" s="915"/>
      <c r="H319" s="917">
        <v>1003330</v>
      </c>
      <c r="I319" s="918"/>
      <c r="J319" s="918"/>
    </row>
    <row r="320" spans="1:10">
      <c r="A320" t="s">
        <v>4010</v>
      </c>
      <c r="B320" s="915" t="s">
        <v>3864</v>
      </c>
      <c r="C320" s="915" t="str">
        <f t="shared" si="4"/>
        <v>12월</v>
      </c>
      <c r="D320" s="916" t="s">
        <v>4005</v>
      </c>
      <c r="E320" s="916"/>
      <c r="F320" s="916" t="s">
        <v>4006</v>
      </c>
      <c r="G320" s="915"/>
      <c r="H320" s="917">
        <v>121070</v>
      </c>
      <c r="I320" s="918"/>
      <c r="J320" s="917">
        <v>4054181</v>
      </c>
    </row>
    <row r="321" spans="1:10">
      <c r="A321" t="s">
        <v>4010</v>
      </c>
      <c r="B321" s="915" t="s">
        <v>3865</v>
      </c>
      <c r="C321" s="915" t="str">
        <f t="shared" si="4"/>
        <v>12월</v>
      </c>
      <c r="D321" s="916" t="s">
        <v>3963</v>
      </c>
      <c r="E321" s="916"/>
      <c r="F321" s="916" t="s">
        <v>3928</v>
      </c>
      <c r="G321" s="915"/>
      <c r="H321" s="917">
        <v>18000</v>
      </c>
      <c r="I321" s="918"/>
      <c r="J321" s="917">
        <v>4072181</v>
      </c>
    </row>
    <row r="322" spans="1:10">
      <c r="A322" t="s">
        <v>4010</v>
      </c>
      <c r="B322" s="915" t="s">
        <v>3332</v>
      </c>
      <c r="C322" s="915" t="str">
        <f t="shared" si="4"/>
        <v>12월</v>
      </c>
      <c r="D322" s="916" t="s">
        <v>4007</v>
      </c>
      <c r="E322" s="916"/>
      <c r="F322" s="916" t="s">
        <v>3692</v>
      </c>
      <c r="G322" s="915"/>
      <c r="H322" s="917">
        <v>200000</v>
      </c>
      <c r="I322" s="918"/>
      <c r="J322" s="918"/>
    </row>
    <row r="323" spans="1:10">
      <c r="A323" t="s">
        <v>4010</v>
      </c>
      <c r="B323" s="915" t="s">
        <v>3332</v>
      </c>
      <c r="C323" s="915" t="str">
        <f t="shared" ref="C323:C386" si="5">MONTH(B323)&amp;"월"</f>
        <v>12월</v>
      </c>
      <c r="D323" s="916" t="s">
        <v>4007</v>
      </c>
      <c r="E323" s="916"/>
      <c r="F323" s="916" t="s">
        <v>3679</v>
      </c>
      <c r="G323" s="915"/>
      <c r="H323" s="917">
        <v>219000</v>
      </c>
      <c r="I323" s="918"/>
      <c r="J323" s="918"/>
    </row>
    <row r="324" spans="1:10">
      <c r="A324" t="s">
        <v>4010</v>
      </c>
      <c r="B324" s="915" t="s">
        <v>3332</v>
      </c>
      <c r="C324" s="915" t="str">
        <f t="shared" si="5"/>
        <v>12월</v>
      </c>
      <c r="D324" s="916" t="s">
        <v>4008</v>
      </c>
      <c r="E324" s="916"/>
      <c r="F324" s="916" t="s">
        <v>4009</v>
      </c>
      <c r="G324" s="915"/>
      <c r="H324" s="917">
        <v>340</v>
      </c>
      <c r="I324" s="918"/>
      <c r="J324" s="917">
        <v>4491521</v>
      </c>
    </row>
    <row r="325" spans="1:10">
      <c r="A325" t="s">
        <v>4064</v>
      </c>
      <c r="B325" s="915" t="s">
        <v>4011</v>
      </c>
      <c r="C325" s="915" t="str">
        <f t="shared" si="5"/>
        <v>2월</v>
      </c>
      <c r="D325" s="916" t="s">
        <v>4012</v>
      </c>
      <c r="E325" s="916"/>
      <c r="F325" s="916"/>
      <c r="G325" s="915"/>
      <c r="H325" s="917">
        <v>-79930</v>
      </c>
      <c r="I325" s="918"/>
      <c r="J325" s="917">
        <v>-79930</v>
      </c>
    </row>
    <row r="326" spans="1:10">
      <c r="A326" t="s">
        <v>4064</v>
      </c>
      <c r="B326" s="915" t="s">
        <v>3875</v>
      </c>
      <c r="C326" s="915" t="str">
        <f t="shared" si="5"/>
        <v>2월</v>
      </c>
      <c r="D326" s="916" t="s">
        <v>4013</v>
      </c>
      <c r="E326" s="916"/>
      <c r="F326" s="916" t="s">
        <v>4014</v>
      </c>
      <c r="G326" s="915"/>
      <c r="H326" s="917">
        <v>12000</v>
      </c>
      <c r="I326" s="918"/>
      <c r="J326" s="917">
        <v>-67930</v>
      </c>
    </row>
    <row r="327" spans="1:10" ht="22.5">
      <c r="A327" t="s">
        <v>4064</v>
      </c>
      <c r="B327" s="915" t="s">
        <v>3687</v>
      </c>
      <c r="C327" s="915" t="str">
        <f t="shared" si="5"/>
        <v>2월</v>
      </c>
      <c r="D327" s="916" t="s">
        <v>4015</v>
      </c>
      <c r="E327" s="916"/>
      <c r="F327" s="916" t="s">
        <v>4016</v>
      </c>
      <c r="G327" s="915"/>
      <c r="H327" s="917">
        <v>100000</v>
      </c>
      <c r="I327" s="918"/>
      <c r="J327" s="917">
        <v>32070</v>
      </c>
    </row>
    <row r="328" spans="1:10">
      <c r="A328" t="s">
        <v>4064</v>
      </c>
      <c r="B328" s="915" t="s">
        <v>4017</v>
      </c>
      <c r="C328" s="915" t="str">
        <f t="shared" si="5"/>
        <v>3월</v>
      </c>
      <c r="D328" s="916" t="s">
        <v>4018</v>
      </c>
      <c r="E328" s="916"/>
      <c r="F328" s="916"/>
      <c r="G328" s="915"/>
      <c r="H328" s="917">
        <v>-1201365</v>
      </c>
      <c r="I328" s="918"/>
      <c r="J328" s="917">
        <v>-1169295</v>
      </c>
    </row>
    <row r="329" spans="1:10" ht="22.5">
      <c r="A329" t="s">
        <v>4064</v>
      </c>
      <c r="B329" s="915" t="s">
        <v>4019</v>
      </c>
      <c r="C329" s="915" t="str">
        <f t="shared" si="5"/>
        <v>3월</v>
      </c>
      <c r="D329" s="916" t="s">
        <v>4020</v>
      </c>
      <c r="E329" s="916" t="s">
        <v>4021</v>
      </c>
      <c r="F329" s="916" t="s">
        <v>4022</v>
      </c>
      <c r="G329" s="915"/>
      <c r="H329" s="917">
        <v>1000000</v>
      </c>
      <c r="I329" s="918"/>
      <c r="J329" s="917">
        <v>-169295</v>
      </c>
    </row>
    <row r="330" spans="1:10">
      <c r="A330" t="s">
        <v>4064</v>
      </c>
      <c r="B330" s="915" t="s">
        <v>3719</v>
      </c>
      <c r="C330" s="915" t="str">
        <f t="shared" si="5"/>
        <v>4월</v>
      </c>
      <c r="D330" s="916" t="s">
        <v>4023</v>
      </c>
      <c r="E330" s="916"/>
      <c r="F330" s="916" t="s">
        <v>4024</v>
      </c>
      <c r="G330" s="915"/>
      <c r="H330" s="917">
        <v>30000</v>
      </c>
      <c r="I330" s="918"/>
      <c r="J330" s="917">
        <v>-139295</v>
      </c>
    </row>
    <row r="331" spans="1:10">
      <c r="A331" t="s">
        <v>4064</v>
      </c>
      <c r="B331" s="915" t="s">
        <v>4025</v>
      </c>
      <c r="C331" s="915" t="str">
        <f t="shared" si="5"/>
        <v>5월</v>
      </c>
      <c r="D331" s="916" t="s">
        <v>4026</v>
      </c>
      <c r="E331" s="916"/>
      <c r="F331" s="916" t="s">
        <v>4027</v>
      </c>
      <c r="G331" s="915"/>
      <c r="H331" s="917">
        <v>100000</v>
      </c>
      <c r="I331" s="918"/>
      <c r="J331" s="918"/>
    </row>
    <row r="332" spans="1:10">
      <c r="A332" t="s">
        <v>4064</v>
      </c>
      <c r="B332" s="915" t="s">
        <v>4025</v>
      </c>
      <c r="C332" s="915" t="str">
        <f t="shared" si="5"/>
        <v>5월</v>
      </c>
      <c r="D332" s="916" t="s">
        <v>4028</v>
      </c>
      <c r="E332" s="916"/>
      <c r="F332" s="916" t="s">
        <v>4029</v>
      </c>
      <c r="G332" s="915"/>
      <c r="H332" s="917">
        <v>10000</v>
      </c>
      <c r="I332" s="918"/>
      <c r="J332" s="917">
        <v>-29295</v>
      </c>
    </row>
    <row r="333" spans="1:10">
      <c r="A333" t="s">
        <v>4064</v>
      </c>
      <c r="B333" s="915" t="s">
        <v>3739</v>
      </c>
      <c r="C333" s="915" t="str">
        <f t="shared" si="5"/>
        <v>5월</v>
      </c>
      <c r="D333" s="916" t="s">
        <v>4030</v>
      </c>
      <c r="E333" s="916"/>
      <c r="F333" s="916" t="s">
        <v>3275</v>
      </c>
      <c r="G333" s="915"/>
      <c r="H333" s="917">
        <v>100000</v>
      </c>
      <c r="I333" s="918"/>
      <c r="J333" s="917">
        <v>70705</v>
      </c>
    </row>
    <row r="334" spans="1:10">
      <c r="A334" t="s">
        <v>4064</v>
      </c>
      <c r="B334" s="915" t="s">
        <v>3748</v>
      </c>
      <c r="C334" s="915" t="str">
        <f t="shared" si="5"/>
        <v>6월</v>
      </c>
      <c r="D334" s="916" t="s">
        <v>4031</v>
      </c>
      <c r="E334" s="916" t="s">
        <v>4032</v>
      </c>
      <c r="F334" s="916" t="s">
        <v>4033</v>
      </c>
      <c r="G334" s="915" t="s">
        <v>4034</v>
      </c>
      <c r="H334" s="917">
        <v>188100</v>
      </c>
      <c r="I334" s="918"/>
      <c r="J334" s="917">
        <v>258805</v>
      </c>
    </row>
    <row r="335" spans="1:10" ht="22.5">
      <c r="A335" t="s">
        <v>4064</v>
      </c>
      <c r="B335" s="915" t="s">
        <v>4035</v>
      </c>
      <c r="C335" s="915" t="str">
        <f t="shared" si="5"/>
        <v>6월</v>
      </c>
      <c r="D335" s="916" t="s">
        <v>4036</v>
      </c>
      <c r="E335" s="916"/>
      <c r="F335" s="916" t="s">
        <v>4037</v>
      </c>
      <c r="G335" s="915"/>
      <c r="H335" s="917">
        <v>100000</v>
      </c>
      <c r="I335" s="918"/>
      <c r="J335" s="917">
        <v>358805</v>
      </c>
    </row>
    <row r="336" spans="1:10">
      <c r="A336" t="s">
        <v>4064</v>
      </c>
      <c r="B336" s="915" t="s">
        <v>3608</v>
      </c>
      <c r="C336" s="915" t="str">
        <f t="shared" si="5"/>
        <v>6월</v>
      </c>
      <c r="D336" s="916" t="s">
        <v>4038</v>
      </c>
      <c r="E336" s="916"/>
      <c r="F336" s="916" t="s">
        <v>4039</v>
      </c>
      <c r="G336" s="915"/>
      <c r="H336" s="917">
        <v>21000</v>
      </c>
      <c r="I336" s="918"/>
      <c r="J336" s="918"/>
    </row>
    <row r="337" spans="1:10">
      <c r="A337" t="s">
        <v>4064</v>
      </c>
      <c r="B337" s="915" t="s">
        <v>3608</v>
      </c>
      <c r="C337" s="915" t="str">
        <f t="shared" si="5"/>
        <v>6월</v>
      </c>
      <c r="D337" s="916" t="s">
        <v>4038</v>
      </c>
      <c r="E337" s="916"/>
      <c r="F337" s="916" t="s">
        <v>4040</v>
      </c>
      <c r="G337" s="915"/>
      <c r="H337" s="917">
        <v>6400</v>
      </c>
      <c r="I337" s="918"/>
      <c r="J337" s="918"/>
    </row>
    <row r="338" spans="1:10">
      <c r="A338" t="s">
        <v>4064</v>
      </c>
      <c r="B338" s="915" t="s">
        <v>3608</v>
      </c>
      <c r="C338" s="915" t="str">
        <f t="shared" si="5"/>
        <v>6월</v>
      </c>
      <c r="D338" s="916" t="s">
        <v>4038</v>
      </c>
      <c r="E338" s="916"/>
      <c r="F338" s="916" t="s">
        <v>4041</v>
      </c>
      <c r="G338" s="915"/>
      <c r="H338" s="917">
        <v>2100</v>
      </c>
      <c r="I338" s="918"/>
      <c r="J338" s="917">
        <v>388305</v>
      </c>
    </row>
    <row r="339" spans="1:10">
      <c r="A339" t="s">
        <v>4064</v>
      </c>
      <c r="B339" s="915" t="s">
        <v>3754</v>
      </c>
      <c r="C339" s="915" t="str">
        <f t="shared" si="5"/>
        <v>6월</v>
      </c>
      <c r="D339" s="916" t="s">
        <v>4042</v>
      </c>
      <c r="E339" s="916"/>
      <c r="F339" s="916" t="s">
        <v>4043</v>
      </c>
      <c r="G339" s="915"/>
      <c r="H339" s="917">
        <v>22500</v>
      </c>
      <c r="I339" s="918"/>
      <c r="J339" s="918"/>
    </row>
    <row r="340" spans="1:10">
      <c r="A340" t="s">
        <v>4064</v>
      </c>
      <c r="B340" s="915" t="s">
        <v>3754</v>
      </c>
      <c r="C340" s="915" t="str">
        <f t="shared" si="5"/>
        <v>6월</v>
      </c>
      <c r="D340" s="916" t="s">
        <v>4042</v>
      </c>
      <c r="E340" s="916"/>
      <c r="F340" s="916" t="s">
        <v>4043</v>
      </c>
      <c r="G340" s="915"/>
      <c r="H340" s="917">
        <v>5000</v>
      </c>
      <c r="I340" s="918"/>
      <c r="J340" s="918"/>
    </row>
    <row r="341" spans="1:10">
      <c r="A341" t="s">
        <v>4064</v>
      </c>
      <c r="B341" s="915" t="s">
        <v>3754</v>
      </c>
      <c r="C341" s="915" t="str">
        <f t="shared" si="5"/>
        <v>6월</v>
      </c>
      <c r="D341" s="916" t="s">
        <v>4042</v>
      </c>
      <c r="E341" s="916"/>
      <c r="F341" s="916" t="s">
        <v>4043</v>
      </c>
      <c r="G341" s="915"/>
      <c r="H341" s="917">
        <v>2100</v>
      </c>
      <c r="I341" s="918"/>
      <c r="J341" s="918"/>
    </row>
    <row r="342" spans="1:10">
      <c r="A342" t="s">
        <v>4064</v>
      </c>
      <c r="B342" s="915" t="s">
        <v>3754</v>
      </c>
      <c r="C342" s="915" t="str">
        <f t="shared" si="5"/>
        <v>6월</v>
      </c>
      <c r="D342" s="916" t="s">
        <v>4042</v>
      </c>
      <c r="E342" s="916"/>
      <c r="F342" s="916" t="s">
        <v>4043</v>
      </c>
      <c r="G342" s="915"/>
      <c r="H342" s="917">
        <v>4500</v>
      </c>
      <c r="I342" s="918"/>
      <c r="J342" s="918"/>
    </row>
    <row r="343" spans="1:10">
      <c r="A343" t="s">
        <v>4064</v>
      </c>
      <c r="B343" s="915" t="s">
        <v>3754</v>
      </c>
      <c r="C343" s="915" t="str">
        <f t="shared" si="5"/>
        <v>6월</v>
      </c>
      <c r="D343" s="916" t="s">
        <v>4042</v>
      </c>
      <c r="E343" s="916"/>
      <c r="F343" s="916" t="s">
        <v>4043</v>
      </c>
      <c r="G343" s="915"/>
      <c r="H343" s="917">
        <v>1500</v>
      </c>
      <c r="I343" s="918"/>
      <c r="J343" s="918"/>
    </row>
    <row r="344" spans="1:10">
      <c r="A344" t="s">
        <v>4064</v>
      </c>
      <c r="B344" s="915" t="s">
        <v>3754</v>
      </c>
      <c r="C344" s="915" t="str">
        <f t="shared" si="5"/>
        <v>6월</v>
      </c>
      <c r="D344" s="916" t="s">
        <v>4042</v>
      </c>
      <c r="E344" s="916"/>
      <c r="F344" s="916" t="s">
        <v>4044</v>
      </c>
      <c r="G344" s="915"/>
      <c r="H344" s="917">
        <v>1000</v>
      </c>
      <c r="I344" s="918"/>
      <c r="J344" s="918"/>
    </row>
    <row r="345" spans="1:10">
      <c r="A345" t="s">
        <v>4064</v>
      </c>
      <c r="B345" s="915" t="s">
        <v>3754</v>
      </c>
      <c r="C345" s="915" t="str">
        <f t="shared" si="5"/>
        <v>6월</v>
      </c>
      <c r="D345" s="916" t="s">
        <v>4042</v>
      </c>
      <c r="E345" s="916"/>
      <c r="F345" s="916" t="s">
        <v>4045</v>
      </c>
      <c r="G345" s="915"/>
      <c r="H345" s="917">
        <v>331300</v>
      </c>
      <c r="I345" s="918"/>
      <c r="J345" s="918"/>
    </row>
    <row r="346" spans="1:10">
      <c r="A346" t="s">
        <v>4064</v>
      </c>
      <c r="B346" s="915" t="s">
        <v>3754</v>
      </c>
      <c r="C346" s="915" t="str">
        <f t="shared" si="5"/>
        <v>6월</v>
      </c>
      <c r="D346" s="916" t="s">
        <v>4042</v>
      </c>
      <c r="E346" s="916"/>
      <c r="F346" s="916" t="s">
        <v>4046</v>
      </c>
      <c r="G346" s="915"/>
      <c r="H346" s="917">
        <v>561000</v>
      </c>
      <c r="I346" s="918"/>
      <c r="J346" s="918"/>
    </row>
    <row r="347" spans="1:10">
      <c r="A347" t="s">
        <v>4064</v>
      </c>
      <c r="B347" s="915" t="s">
        <v>3754</v>
      </c>
      <c r="C347" s="915" t="str">
        <f t="shared" si="5"/>
        <v>6월</v>
      </c>
      <c r="D347" s="916" t="s">
        <v>4042</v>
      </c>
      <c r="E347" s="916"/>
      <c r="F347" s="916" t="s">
        <v>4047</v>
      </c>
      <c r="G347" s="915"/>
      <c r="H347" s="917">
        <v>11200</v>
      </c>
      <c r="I347" s="918"/>
      <c r="J347" s="918"/>
    </row>
    <row r="348" spans="1:10">
      <c r="A348" t="s">
        <v>4064</v>
      </c>
      <c r="B348" s="915" t="s">
        <v>3754</v>
      </c>
      <c r="C348" s="915" t="str">
        <f t="shared" si="5"/>
        <v>6월</v>
      </c>
      <c r="D348" s="916" t="s">
        <v>4042</v>
      </c>
      <c r="E348" s="916"/>
      <c r="F348" s="916" t="s">
        <v>4043</v>
      </c>
      <c r="G348" s="915"/>
      <c r="H348" s="917">
        <v>7500</v>
      </c>
      <c r="I348" s="918"/>
      <c r="J348" s="918"/>
    </row>
    <row r="349" spans="1:10">
      <c r="A349" t="s">
        <v>4064</v>
      </c>
      <c r="B349" s="915" t="s">
        <v>3754</v>
      </c>
      <c r="C349" s="915" t="str">
        <f t="shared" si="5"/>
        <v>6월</v>
      </c>
      <c r="D349" s="916" t="s">
        <v>4042</v>
      </c>
      <c r="E349" s="916"/>
      <c r="F349" s="916" t="s">
        <v>4048</v>
      </c>
      <c r="G349" s="915"/>
      <c r="H349" s="917">
        <v>25000</v>
      </c>
      <c r="I349" s="918"/>
      <c r="J349" s="918"/>
    </row>
    <row r="350" spans="1:10">
      <c r="A350" t="s">
        <v>4064</v>
      </c>
      <c r="B350" s="915" t="s">
        <v>3754</v>
      </c>
      <c r="C350" s="915" t="str">
        <f t="shared" si="5"/>
        <v>6월</v>
      </c>
      <c r="D350" s="916" t="s">
        <v>4042</v>
      </c>
      <c r="E350" s="916"/>
      <c r="F350" s="916" t="s">
        <v>4048</v>
      </c>
      <c r="G350" s="915"/>
      <c r="H350" s="917">
        <v>27000</v>
      </c>
      <c r="I350" s="918"/>
      <c r="J350" s="917">
        <v>1387905</v>
      </c>
    </row>
    <row r="351" spans="1:10">
      <c r="A351" t="s">
        <v>4064</v>
      </c>
      <c r="B351" s="915" t="s">
        <v>4049</v>
      </c>
      <c r="C351" s="915" t="str">
        <f t="shared" si="5"/>
        <v>6월</v>
      </c>
      <c r="D351" s="916" t="s">
        <v>4050</v>
      </c>
      <c r="E351" s="916"/>
      <c r="F351" s="916" t="s">
        <v>4051</v>
      </c>
      <c r="G351" s="915"/>
      <c r="H351" s="917">
        <v>50000</v>
      </c>
      <c r="I351" s="918"/>
      <c r="J351" s="917">
        <v>1437905</v>
      </c>
    </row>
    <row r="352" spans="1:10">
      <c r="A352" t="s">
        <v>4064</v>
      </c>
      <c r="B352" s="915" t="s">
        <v>4052</v>
      </c>
      <c r="C352" s="915" t="str">
        <f t="shared" si="5"/>
        <v>9월</v>
      </c>
      <c r="D352" s="916" t="s">
        <v>4053</v>
      </c>
      <c r="E352" s="916"/>
      <c r="F352" s="916" t="s">
        <v>4054</v>
      </c>
      <c r="G352" s="915"/>
      <c r="H352" s="917">
        <v>135000</v>
      </c>
      <c r="I352" s="918"/>
      <c r="J352" s="917">
        <v>1572905</v>
      </c>
    </row>
    <row r="353" spans="1:10">
      <c r="A353" t="s">
        <v>4064</v>
      </c>
      <c r="B353" s="915" t="s">
        <v>4055</v>
      </c>
      <c r="C353" s="915" t="str">
        <f t="shared" si="5"/>
        <v>10월</v>
      </c>
      <c r="D353" s="916" t="s">
        <v>4056</v>
      </c>
      <c r="E353" s="916"/>
      <c r="F353" s="916" t="s">
        <v>4057</v>
      </c>
      <c r="G353" s="915"/>
      <c r="H353" s="917">
        <v>3800</v>
      </c>
      <c r="I353" s="918"/>
      <c r="J353" s="917">
        <v>1576705</v>
      </c>
    </row>
    <row r="354" spans="1:10">
      <c r="A354" t="s">
        <v>4064</v>
      </c>
      <c r="B354" s="915" t="s">
        <v>3826</v>
      </c>
      <c r="C354" s="915" t="str">
        <f t="shared" si="5"/>
        <v>11월</v>
      </c>
      <c r="D354" s="916" t="s">
        <v>4058</v>
      </c>
      <c r="E354" s="916"/>
      <c r="F354" s="916" t="s">
        <v>4059</v>
      </c>
      <c r="G354" s="915"/>
      <c r="H354" s="917">
        <v>50000</v>
      </c>
      <c r="I354" s="918"/>
      <c r="J354" s="918"/>
    </row>
    <row r="355" spans="1:10">
      <c r="A355" t="s">
        <v>4064</v>
      </c>
      <c r="B355" s="915" t="s">
        <v>3826</v>
      </c>
      <c r="C355" s="915" t="str">
        <f t="shared" si="5"/>
        <v>11월</v>
      </c>
      <c r="D355" s="916" t="s">
        <v>4058</v>
      </c>
      <c r="E355" s="916"/>
      <c r="F355" s="916" t="s">
        <v>4059</v>
      </c>
      <c r="G355" s="915"/>
      <c r="H355" s="917">
        <v>160000</v>
      </c>
      <c r="I355" s="918"/>
      <c r="J355" s="917">
        <v>1786705</v>
      </c>
    </row>
    <row r="356" spans="1:10">
      <c r="A356" t="s">
        <v>4064</v>
      </c>
      <c r="B356" s="915" t="s">
        <v>3621</v>
      </c>
      <c r="C356" s="915" t="str">
        <f t="shared" si="5"/>
        <v>11월</v>
      </c>
      <c r="D356" s="916" t="s">
        <v>4060</v>
      </c>
      <c r="E356" s="916"/>
      <c r="F356" s="916" t="s">
        <v>4061</v>
      </c>
      <c r="G356" s="915"/>
      <c r="H356" s="917">
        <v>180000</v>
      </c>
      <c r="I356" s="918"/>
      <c r="J356" s="917">
        <v>1966705</v>
      </c>
    </row>
    <row r="357" spans="1:10">
      <c r="A357" t="s">
        <v>4064</v>
      </c>
      <c r="B357" s="915" t="s">
        <v>3991</v>
      </c>
      <c r="C357" s="915" t="str">
        <f t="shared" si="5"/>
        <v>11월</v>
      </c>
      <c r="D357" s="916" t="s">
        <v>4030</v>
      </c>
      <c r="E357" s="916"/>
      <c r="F357" s="916" t="s">
        <v>4062</v>
      </c>
      <c r="G357" s="915"/>
      <c r="H357" s="917">
        <v>20000</v>
      </c>
      <c r="I357" s="918"/>
      <c r="J357" s="917">
        <v>1986705</v>
      </c>
    </row>
    <row r="358" spans="1:10">
      <c r="A358" t="s">
        <v>4064</v>
      </c>
      <c r="B358" s="915" t="s">
        <v>3854</v>
      </c>
      <c r="C358" s="915" t="str">
        <f t="shared" si="5"/>
        <v>12월</v>
      </c>
      <c r="D358" s="916" t="s">
        <v>4063</v>
      </c>
      <c r="E358" s="916"/>
      <c r="F358" s="916"/>
      <c r="G358" s="915"/>
      <c r="H358" s="917">
        <v>-41460</v>
      </c>
      <c r="I358" s="918"/>
      <c r="J358" s="917">
        <v>1945245</v>
      </c>
    </row>
    <row r="359" spans="1:10">
      <c r="A359" t="s">
        <v>4110</v>
      </c>
      <c r="B359" s="915" t="s">
        <v>3635</v>
      </c>
      <c r="C359" s="915" t="str">
        <f t="shared" si="5"/>
        <v>1월</v>
      </c>
      <c r="D359" s="916" t="s">
        <v>4065</v>
      </c>
      <c r="E359" s="916"/>
      <c r="F359" s="916" t="s">
        <v>3644</v>
      </c>
      <c r="G359" s="915"/>
      <c r="H359" s="917">
        <v>30000</v>
      </c>
      <c r="I359" s="918"/>
      <c r="J359" s="917">
        <v>30000</v>
      </c>
    </row>
    <row r="360" spans="1:10">
      <c r="A360" t="s">
        <v>4110</v>
      </c>
      <c r="B360" s="915" t="s">
        <v>3601</v>
      </c>
      <c r="C360" s="915" t="str">
        <f t="shared" si="5"/>
        <v>2월</v>
      </c>
      <c r="D360" s="916" t="s">
        <v>3808</v>
      </c>
      <c r="E360" s="916"/>
      <c r="F360" s="916" t="s">
        <v>3666</v>
      </c>
      <c r="G360" s="915"/>
      <c r="H360" s="917">
        <v>4800</v>
      </c>
      <c r="I360" s="918"/>
      <c r="J360" s="918"/>
    </row>
    <row r="361" spans="1:10">
      <c r="A361" t="s">
        <v>4110</v>
      </c>
      <c r="B361" s="915" t="s">
        <v>3601</v>
      </c>
      <c r="C361" s="915" t="str">
        <f t="shared" si="5"/>
        <v>2월</v>
      </c>
      <c r="D361" s="916" t="s">
        <v>3808</v>
      </c>
      <c r="E361" s="916"/>
      <c r="F361" s="916" t="s">
        <v>4066</v>
      </c>
      <c r="G361" s="915"/>
      <c r="H361" s="917">
        <v>20600</v>
      </c>
      <c r="I361" s="918"/>
      <c r="J361" s="917">
        <v>55400</v>
      </c>
    </row>
    <row r="362" spans="1:10">
      <c r="A362" t="s">
        <v>4110</v>
      </c>
      <c r="B362" s="915" t="s">
        <v>3667</v>
      </c>
      <c r="C362" s="915" t="str">
        <f t="shared" si="5"/>
        <v>2월</v>
      </c>
      <c r="D362" s="916" t="s">
        <v>4067</v>
      </c>
      <c r="E362" s="916"/>
      <c r="F362" s="916" t="s">
        <v>3733</v>
      </c>
      <c r="G362" s="915"/>
      <c r="H362" s="917">
        <v>2400</v>
      </c>
      <c r="I362" s="918"/>
      <c r="J362" s="918"/>
    </row>
    <row r="363" spans="1:10">
      <c r="A363" t="s">
        <v>4110</v>
      </c>
      <c r="B363" s="915" t="s">
        <v>3667</v>
      </c>
      <c r="C363" s="915" t="str">
        <f t="shared" si="5"/>
        <v>2월</v>
      </c>
      <c r="D363" s="916" t="s">
        <v>4067</v>
      </c>
      <c r="E363" s="916"/>
      <c r="F363" s="916" t="s">
        <v>4068</v>
      </c>
      <c r="G363" s="915"/>
      <c r="H363" s="917">
        <v>2400</v>
      </c>
      <c r="I363" s="918"/>
      <c r="J363" s="917">
        <v>60200</v>
      </c>
    </row>
    <row r="364" spans="1:10">
      <c r="A364" t="s">
        <v>4110</v>
      </c>
      <c r="B364" s="915" t="s">
        <v>4069</v>
      </c>
      <c r="C364" s="915" t="str">
        <f t="shared" si="5"/>
        <v>2월</v>
      </c>
      <c r="D364" s="916" t="s">
        <v>4070</v>
      </c>
      <c r="E364" s="916"/>
      <c r="F364" s="916" t="s">
        <v>4071</v>
      </c>
      <c r="G364" s="915"/>
      <c r="H364" s="917">
        <v>3300</v>
      </c>
      <c r="I364" s="918"/>
      <c r="J364" s="917">
        <v>63500</v>
      </c>
    </row>
    <row r="365" spans="1:10">
      <c r="A365" t="s">
        <v>4110</v>
      </c>
      <c r="B365" s="915" t="s">
        <v>3680</v>
      </c>
      <c r="C365" s="915" t="str">
        <f t="shared" si="5"/>
        <v>2월</v>
      </c>
      <c r="D365" s="916" t="s">
        <v>4072</v>
      </c>
      <c r="E365" s="916"/>
      <c r="F365" s="916" t="s">
        <v>4073</v>
      </c>
      <c r="G365" s="915"/>
      <c r="H365" s="917">
        <v>30000</v>
      </c>
      <c r="I365" s="918"/>
      <c r="J365" s="917">
        <v>93500</v>
      </c>
    </row>
    <row r="366" spans="1:10">
      <c r="A366" t="s">
        <v>4110</v>
      </c>
      <c r="B366" s="915" t="s">
        <v>3687</v>
      </c>
      <c r="C366" s="915" t="str">
        <f t="shared" si="5"/>
        <v>2월</v>
      </c>
      <c r="D366" s="916" t="s">
        <v>3808</v>
      </c>
      <c r="E366" s="916"/>
      <c r="F366" s="916" t="s">
        <v>3612</v>
      </c>
      <c r="G366" s="915"/>
      <c r="H366" s="917">
        <v>10000</v>
      </c>
      <c r="I366" s="918"/>
      <c r="J366" s="918"/>
    </row>
    <row r="367" spans="1:10">
      <c r="A367" t="s">
        <v>4110</v>
      </c>
      <c r="B367" s="915" t="s">
        <v>3687</v>
      </c>
      <c r="C367" s="915" t="str">
        <f t="shared" si="5"/>
        <v>2월</v>
      </c>
      <c r="D367" s="916" t="s">
        <v>3808</v>
      </c>
      <c r="E367" s="916"/>
      <c r="F367" s="916" t="s">
        <v>3612</v>
      </c>
      <c r="G367" s="915"/>
      <c r="H367" s="917">
        <v>10000</v>
      </c>
      <c r="I367" s="918"/>
      <c r="J367" s="918"/>
    </row>
    <row r="368" spans="1:10">
      <c r="A368" t="s">
        <v>4110</v>
      </c>
      <c r="B368" s="915" t="s">
        <v>3687</v>
      </c>
      <c r="C368" s="915" t="str">
        <f t="shared" si="5"/>
        <v>2월</v>
      </c>
      <c r="D368" s="916" t="s">
        <v>3808</v>
      </c>
      <c r="E368" s="916"/>
      <c r="F368" s="916" t="s">
        <v>4074</v>
      </c>
      <c r="G368" s="915"/>
      <c r="H368" s="917">
        <v>10000</v>
      </c>
      <c r="I368" s="918"/>
      <c r="J368" s="918"/>
    </row>
    <row r="369" spans="1:10">
      <c r="A369" t="s">
        <v>4110</v>
      </c>
      <c r="B369" s="915" t="s">
        <v>3687</v>
      </c>
      <c r="C369" s="915" t="str">
        <f t="shared" si="5"/>
        <v>2월</v>
      </c>
      <c r="D369" s="916" t="s">
        <v>3808</v>
      </c>
      <c r="E369" s="916"/>
      <c r="F369" s="916" t="s">
        <v>4074</v>
      </c>
      <c r="G369" s="915"/>
      <c r="H369" s="917">
        <v>10000</v>
      </c>
      <c r="I369" s="918"/>
      <c r="J369" s="918"/>
    </row>
    <row r="370" spans="1:10">
      <c r="A370" t="s">
        <v>4110</v>
      </c>
      <c r="B370" s="915" t="s">
        <v>3687</v>
      </c>
      <c r="C370" s="915" t="str">
        <f t="shared" si="5"/>
        <v>2월</v>
      </c>
      <c r="D370" s="916" t="s">
        <v>3808</v>
      </c>
      <c r="E370" s="916"/>
      <c r="F370" s="916" t="s">
        <v>4075</v>
      </c>
      <c r="G370" s="915"/>
      <c r="H370" s="917">
        <v>5000</v>
      </c>
      <c r="I370" s="918"/>
      <c r="J370" s="918"/>
    </row>
    <row r="371" spans="1:10">
      <c r="A371" t="s">
        <v>4110</v>
      </c>
      <c r="B371" s="915" t="s">
        <v>3687</v>
      </c>
      <c r="C371" s="915" t="str">
        <f t="shared" si="5"/>
        <v>2월</v>
      </c>
      <c r="D371" s="916" t="s">
        <v>3808</v>
      </c>
      <c r="E371" s="916"/>
      <c r="F371" s="916" t="s">
        <v>4076</v>
      </c>
      <c r="G371" s="915"/>
      <c r="H371" s="917">
        <v>2000</v>
      </c>
      <c r="I371" s="918"/>
      <c r="J371" s="918"/>
    </row>
    <row r="372" spans="1:10">
      <c r="A372" t="s">
        <v>4110</v>
      </c>
      <c r="B372" s="915" t="s">
        <v>3687</v>
      </c>
      <c r="C372" s="915" t="str">
        <f t="shared" si="5"/>
        <v>2월</v>
      </c>
      <c r="D372" s="916" t="s">
        <v>3808</v>
      </c>
      <c r="E372" s="916"/>
      <c r="F372" s="916" t="s">
        <v>4077</v>
      </c>
      <c r="G372" s="915"/>
      <c r="H372" s="917">
        <v>7000</v>
      </c>
      <c r="I372" s="918"/>
      <c r="J372" s="917">
        <v>147500</v>
      </c>
    </row>
    <row r="373" spans="1:10">
      <c r="A373" t="s">
        <v>4110</v>
      </c>
      <c r="B373" s="915" t="s">
        <v>3696</v>
      </c>
      <c r="C373" s="915" t="str">
        <f t="shared" si="5"/>
        <v>3월</v>
      </c>
      <c r="D373" s="916" t="s">
        <v>3808</v>
      </c>
      <c r="E373" s="916"/>
      <c r="F373" s="916" t="s">
        <v>4078</v>
      </c>
      <c r="G373" s="915"/>
      <c r="H373" s="917">
        <v>18300</v>
      </c>
      <c r="I373" s="918"/>
      <c r="J373" s="918"/>
    </row>
    <row r="374" spans="1:10">
      <c r="A374" t="s">
        <v>4110</v>
      </c>
      <c r="B374" s="915" t="s">
        <v>3696</v>
      </c>
      <c r="C374" s="915" t="str">
        <f t="shared" si="5"/>
        <v>3월</v>
      </c>
      <c r="D374" s="916" t="s">
        <v>3808</v>
      </c>
      <c r="E374" s="916"/>
      <c r="F374" s="916" t="s">
        <v>4079</v>
      </c>
      <c r="G374" s="915"/>
      <c r="H374" s="917">
        <v>7600</v>
      </c>
      <c r="I374" s="918"/>
      <c r="J374" s="918"/>
    </row>
    <row r="375" spans="1:10">
      <c r="A375" t="s">
        <v>4110</v>
      </c>
      <c r="B375" s="915" t="s">
        <v>3696</v>
      </c>
      <c r="C375" s="915" t="str">
        <f t="shared" si="5"/>
        <v>3월</v>
      </c>
      <c r="D375" s="916" t="s">
        <v>3808</v>
      </c>
      <c r="E375" s="916"/>
      <c r="F375" s="916" t="s">
        <v>4080</v>
      </c>
      <c r="G375" s="915"/>
      <c r="H375" s="917">
        <v>5500</v>
      </c>
      <c r="I375" s="918"/>
      <c r="J375" s="918"/>
    </row>
    <row r="376" spans="1:10">
      <c r="A376" t="s">
        <v>4110</v>
      </c>
      <c r="B376" s="915" t="s">
        <v>3696</v>
      </c>
      <c r="C376" s="915" t="str">
        <f t="shared" si="5"/>
        <v>3월</v>
      </c>
      <c r="D376" s="916" t="s">
        <v>3808</v>
      </c>
      <c r="E376" s="916"/>
      <c r="F376" s="916" t="s">
        <v>4081</v>
      </c>
      <c r="G376" s="915"/>
      <c r="H376" s="917">
        <v>6500</v>
      </c>
      <c r="I376" s="918"/>
      <c r="J376" s="917">
        <v>185400</v>
      </c>
    </row>
    <row r="377" spans="1:10">
      <c r="A377" t="s">
        <v>4110</v>
      </c>
      <c r="B377" s="915" t="s">
        <v>4082</v>
      </c>
      <c r="C377" s="915" t="str">
        <f t="shared" si="5"/>
        <v>4월</v>
      </c>
      <c r="D377" s="916" t="s">
        <v>3808</v>
      </c>
      <c r="E377" s="916"/>
      <c r="F377" s="916" t="s">
        <v>4083</v>
      </c>
      <c r="G377" s="915"/>
      <c r="H377" s="917">
        <v>11000</v>
      </c>
      <c r="I377" s="918"/>
      <c r="J377" s="918"/>
    </row>
    <row r="378" spans="1:10">
      <c r="A378" t="s">
        <v>4110</v>
      </c>
      <c r="B378" s="915" t="s">
        <v>4082</v>
      </c>
      <c r="C378" s="915" t="str">
        <f t="shared" si="5"/>
        <v>4월</v>
      </c>
      <c r="D378" s="916" t="s">
        <v>3808</v>
      </c>
      <c r="E378" s="916"/>
      <c r="F378" s="916" t="s">
        <v>4084</v>
      </c>
      <c r="G378" s="915"/>
      <c r="H378" s="917">
        <v>8500</v>
      </c>
      <c r="I378" s="918"/>
      <c r="J378" s="918"/>
    </row>
    <row r="379" spans="1:10">
      <c r="A379" t="s">
        <v>4110</v>
      </c>
      <c r="B379" s="915" t="s">
        <v>4082</v>
      </c>
      <c r="C379" s="915" t="str">
        <f t="shared" si="5"/>
        <v>4월</v>
      </c>
      <c r="D379" s="916" t="s">
        <v>3808</v>
      </c>
      <c r="E379" s="916"/>
      <c r="F379" s="916" t="s">
        <v>3733</v>
      </c>
      <c r="G379" s="915"/>
      <c r="H379" s="917">
        <v>7400</v>
      </c>
      <c r="I379" s="918"/>
      <c r="J379" s="918"/>
    </row>
    <row r="380" spans="1:10">
      <c r="A380" t="s">
        <v>4110</v>
      </c>
      <c r="B380" s="915" t="s">
        <v>4082</v>
      </c>
      <c r="C380" s="915" t="str">
        <f t="shared" si="5"/>
        <v>4월</v>
      </c>
      <c r="D380" s="916" t="s">
        <v>3808</v>
      </c>
      <c r="E380" s="916"/>
      <c r="F380" s="916" t="s">
        <v>4085</v>
      </c>
      <c r="G380" s="915"/>
      <c r="H380" s="917">
        <v>5600</v>
      </c>
      <c r="I380" s="918"/>
      <c r="J380" s="918"/>
    </row>
    <row r="381" spans="1:10">
      <c r="A381" t="s">
        <v>4110</v>
      </c>
      <c r="B381" s="915" t="s">
        <v>4082</v>
      </c>
      <c r="C381" s="915" t="str">
        <f t="shared" si="5"/>
        <v>4월</v>
      </c>
      <c r="D381" s="916" t="s">
        <v>3808</v>
      </c>
      <c r="E381" s="916"/>
      <c r="F381" s="916" t="s">
        <v>3733</v>
      </c>
      <c r="G381" s="915"/>
      <c r="H381" s="917">
        <v>4800</v>
      </c>
      <c r="I381" s="918"/>
      <c r="J381" s="918"/>
    </row>
    <row r="382" spans="1:10">
      <c r="A382" t="s">
        <v>4110</v>
      </c>
      <c r="B382" s="915" t="s">
        <v>4082</v>
      </c>
      <c r="C382" s="915" t="str">
        <f t="shared" si="5"/>
        <v>4월</v>
      </c>
      <c r="D382" s="916" t="s">
        <v>3808</v>
      </c>
      <c r="E382" s="916"/>
      <c r="F382" s="916" t="s">
        <v>4086</v>
      </c>
      <c r="G382" s="915"/>
      <c r="H382" s="917">
        <v>6900</v>
      </c>
      <c r="I382" s="918"/>
      <c r="J382" s="917">
        <v>229600</v>
      </c>
    </row>
    <row r="383" spans="1:10">
      <c r="A383" t="s">
        <v>4110</v>
      </c>
      <c r="B383" s="915" t="s">
        <v>3719</v>
      </c>
      <c r="C383" s="915" t="str">
        <f t="shared" si="5"/>
        <v>4월</v>
      </c>
      <c r="D383" s="916" t="s">
        <v>3808</v>
      </c>
      <c r="E383" s="916"/>
      <c r="F383" s="916" t="s">
        <v>4087</v>
      </c>
      <c r="G383" s="915"/>
      <c r="H383" s="917">
        <v>7700</v>
      </c>
      <c r="I383" s="918"/>
      <c r="J383" s="918"/>
    </row>
    <row r="384" spans="1:10">
      <c r="A384" t="s">
        <v>4110</v>
      </c>
      <c r="B384" s="915" t="s">
        <v>3719</v>
      </c>
      <c r="C384" s="915" t="str">
        <f t="shared" si="5"/>
        <v>4월</v>
      </c>
      <c r="D384" s="916" t="s">
        <v>3808</v>
      </c>
      <c r="E384" s="916"/>
      <c r="F384" s="916" t="s">
        <v>4088</v>
      </c>
      <c r="G384" s="915"/>
      <c r="H384" s="917">
        <v>8700</v>
      </c>
      <c r="I384" s="918"/>
      <c r="J384" s="917">
        <v>246000</v>
      </c>
    </row>
    <row r="385" spans="1:10">
      <c r="A385" t="s">
        <v>4110</v>
      </c>
      <c r="B385" s="915" t="s">
        <v>3720</v>
      </c>
      <c r="C385" s="915" t="str">
        <f t="shared" si="5"/>
        <v>4월</v>
      </c>
      <c r="D385" s="916" t="s">
        <v>3808</v>
      </c>
      <c r="E385" s="916"/>
      <c r="F385" s="916" t="s">
        <v>4089</v>
      </c>
      <c r="G385" s="915"/>
      <c r="H385" s="917">
        <v>5800</v>
      </c>
      <c r="I385" s="918"/>
      <c r="J385" s="918"/>
    </row>
    <row r="386" spans="1:10">
      <c r="A386" t="s">
        <v>4110</v>
      </c>
      <c r="B386" s="915" t="s">
        <v>3720</v>
      </c>
      <c r="C386" s="915" t="str">
        <f t="shared" si="5"/>
        <v>4월</v>
      </c>
      <c r="D386" s="916" t="s">
        <v>3808</v>
      </c>
      <c r="E386" s="916"/>
      <c r="F386" s="916" t="s">
        <v>4090</v>
      </c>
      <c r="G386" s="915"/>
      <c r="H386" s="917">
        <v>9000</v>
      </c>
      <c r="I386" s="918"/>
      <c r="J386" s="918"/>
    </row>
    <row r="387" spans="1:10">
      <c r="A387" t="s">
        <v>4110</v>
      </c>
      <c r="B387" s="915" t="s">
        <v>3720</v>
      </c>
      <c r="C387" s="915" t="str">
        <f t="shared" ref="C387:C450" si="6">MONTH(B387)&amp;"월"</f>
        <v>4월</v>
      </c>
      <c r="D387" s="916" t="s">
        <v>3808</v>
      </c>
      <c r="E387" s="916"/>
      <c r="F387" s="916" t="s">
        <v>4091</v>
      </c>
      <c r="G387" s="915"/>
      <c r="H387" s="917">
        <v>7000</v>
      </c>
      <c r="I387" s="918"/>
      <c r="J387" s="918"/>
    </row>
    <row r="388" spans="1:10">
      <c r="A388" t="s">
        <v>4110</v>
      </c>
      <c r="B388" s="915" t="s">
        <v>3720</v>
      </c>
      <c r="C388" s="915" t="str">
        <f t="shared" si="6"/>
        <v>4월</v>
      </c>
      <c r="D388" s="916" t="s">
        <v>3808</v>
      </c>
      <c r="E388" s="916"/>
      <c r="F388" s="916" t="s">
        <v>4092</v>
      </c>
      <c r="G388" s="915"/>
      <c r="H388" s="917">
        <v>7200</v>
      </c>
      <c r="I388" s="918"/>
      <c r="J388" s="917">
        <v>275000</v>
      </c>
    </row>
    <row r="389" spans="1:10">
      <c r="A389" t="s">
        <v>4110</v>
      </c>
      <c r="B389" s="915" t="s">
        <v>4093</v>
      </c>
      <c r="C389" s="915" t="str">
        <f t="shared" si="6"/>
        <v>4월</v>
      </c>
      <c r="D389" s="916" t="s">
        <v>3808</v>
      </c>
      <c r="E389" s="916"/>
      <c r="F389" s="916" t="s">
        <v>4094</v>
      </c>
      <c r="G389" s="915"/>
      <c r="H389" s="917">
        <v>15400</v>
      </c>
      <c r="I389" s="918"/>
      <c r="J389" s="918"/>
    </row>
    <row r="390" spans="1:10">
      <c r="A390" t="s">
        <v>4110</v>
      </c>
      <c r="B390" s="915" t="s">
        <v>4093</v>
      </c>
      <c r="C390" s="915" t="str">
        <f t="shared" si="6"/>
        <v>4월</v>
      </c>
      <c r="D390" s="916" t="s">
        <v>3808</v>
      </c>
      <c r="E390" s="916"/>
      <c r="F390" s="916" t="s">
        <v>4095</v>
      </c>
      <c r="G390" s="915"/>
      <c r="H390" s="917">
        <v>7200</v>
      </c>
      <c r="I390" s="918"/>
      <c r="J390" s="918"/>
    </row>
    <row r="391" spans="1:10">
      <c r="A391" t="s">
        <v>4110</v>
      </c>
      <c r="B391" s="915" t="s">
        <v>4093</v>
      </c>
      <c r="C391" s="915" t="str">
        <f t="shared" si="6"/>
        <v>4월</v>
      </c>
      <c r="D391" s="916" t="s">
        <v>3808</v>
      </c>
      <c r="E391" s="916"/>
      <c r="F391" s="916" t="s">
        <v>4096</v>
      </c>
      <c r="G391" s="915"/>
      <c r="H391" s="917">
        <v>14100</v>
      </c>
      <c r="I391" s="918"/>
      <c r="J391" s="917">
        <v>311700</v>
      </c>
    </row>
    <row r="392" spans="1:10">
      <c r="A392" t="s">
        <v>4110</v>
      </c>
      <c r="B392" s="915" t="s">
        <v>4097</v>
      </c>
      <c r="C392" s="915" t="str">
        <f t="shared" si="6"/>
        <v>5월</v>
      </c>
      <c r="D392" s="916" t="s">
        <v>3808</v>
      </c>
      <c r="E392" s="916"/>
      <c r="F392" s="916" t="s">
        <v>4098</v>
      </c>
      <c r="G392" s="915"/>
      <c r="H392" s="917">
        <v>9700</v>
      </c>
      <c r="I392" s="918"/>
      <c r="J392" s="918"/>
    </row>
    <row r="393" spans="1:10">
      <c r="A393" t="s">
        <v>4110</v>
      </c>
      <c r="B393" s="915" t="s">
        <v>4097</v>
      </c>
      <c r="C393" s="915" t="str">
        <f t="shared" si="6"/>
        <v>5월</v>
      </c>
      <c r="D393" s="916" t="s">
        <v>3808</v>
      </c>
      <c r="E393" s="916"/>
      <c r="F393" s="916" t="s">
        <v>3733</v>
      </c>
      <c r="G393" s="915"/>
      <c r="H393" s="917">
        <v>10500</v>
      </c>
      <c r="I393" s="918"/>
      <c r="J393" s="918"/>
    </row>
    <row r="394" spans="1:10">
      <c r="A394" t="s">
        <v>4110</v>
      </c>
      <c r="B394" s="915" t="s">
        <v>4097</v>
      </c>
      <c r="C394" s="915" t="str">
        <f t="shared" si="6"/>
        <v>5월</v>
      </c>
      <c r="D394" s="916" t="s">
        <v>3808</v>
      </c>
      <c r="E394" s="916"/>
      <c r="F394" s="916" t="s">
        <v>4099</v>
      </c>
      <c r="G394" s="915"/>
      <c r="H394" s="917">
        <v>8500</v>
      </c>
      <c r="I394" s="918"/>
      <c r="J394" s="918"/>
    </row>
    <row r="395" spans="1:10">
      <c r="A395" t="s">
        <v>4110</v>
      </c>
      <c r="B395" s="915" t="s">
        <v>4097</v>
      </c>
      <c r="C395" s="915" t="str">
        <f t="shared" si="6"/>
        <v>5월</v>
      </c>
      <c r="D395" s="916" t="s">
        <v>3808</v>
      </c>
      <c r="E395" s="916"/>
      <c r="F395" s="916" t="s">
        <v>4100</v>
      </c>
      <c r="G395" s="915"/>
      <c r="H395" s="917">
        <v>14100</v>
      </c>
      <c r="I395" s="918"/>
      <c r="J395" s="918"/>
    </row>
    <row r="396" spans="1:10">
      <c r="A396" t="s">
        <v>4110</v>
      </c>
      <c r="B396" s="915" t="s">
        <v>4097</v>
      </c>
      <c r="C396" s="915" t="str">
        <f t="shared" si="6"/>
        <v>5월</v>
      </c>
      <c r="D396" s="916" t="s">
        <v>4101</v>
      </c>
      <c r="E396" s="916"/>
      <c r="F396" s="916" t="s">
        <v>3733</v>
      </c>
      <c r="G396" s="915"/>
      <c r="H396" s="917">
        <v>3900</v>
      </c>
      <c r="I396" s="918"/>
      <c r="J396" s="917">
        <v>358400</v>
      </c>
    </row>
    <row r="397" spans="1:10">
      <c r="A397" t="s">
        <v>4110</v>
      </c>
      <c r="B397" s="915" t="s">
        <v>3739</v>
      </c>
      <c r="C397" s="915" t="str">
        <f t="shared" si="6"/>
        <v>5월</v>
      </c>
      <c r="D397" s="916" t="s">
        <v>3740</v>
      </c>
      <c r="E397" s="916"/>
      <c r="F397" s="916" t="s">
        <v>4102</v>
      </c>
      <c r="G397" s="915"/>
      <c r="H397" s="917">
        <v>18500</v>
      </c>
      <c r="I397" s="918"/>
      <c r="J397" s="918"/>
    </row>
    <row r="398" spans="1:10">
      <c r="A398" t="s">
        <v>4110</v>
      </c>
      <c r="B398" s="915" t="s">
        <v>3739</v>
      </c>
      <c r="C398" s="915" t="str">
        <f t="shared" si="6"/>
        <v>5월</v>
      </c>
      <c r="D398" s="916" t="s">
        <v>3740</v>
      </c>
      <c r="E398" s="916"/>
      <c r="F398" s="916" t="s">
        <v>4102</v>
      </c>
      <c r="G398" s="915"/>
      <c r="H398" s="917">
        <v>14500</v>
      </c>
      <c r="I398" s="918"/>
      <c r="J398" s="918"/>
    </row>
    <row r="399" spans="1:10">
      <c r="A399" t="s">
        <v>4110</v>
      </c>
      <c r="B399" s="915" t="s">
        <v>3739</v>
      </c>
      <c r="C399" s="915" t="str">
        <f t="shared" si="6"/>
        <v>5월</v>
      </c>
      <c r="D399" s="916" t="s">
        <v>3740</v>
      </c>
      <c r="E399" s="916"/>
      <c r="F399" s="916" t="s">
        <v>4103</v>
      </c>
      <c r="G399" s="915"/>
      <c r="H399" s="917">
        <v>10500</v>
      </c>
      <c r="I399" s="918"/>
      <c r="J399" s="918"/>
    </row>
    <row r="400" spans="1:10">
      <c r="A400" t="s">
        <v>4110</v>
      </c>
      <c r="B400" s="915" t="s">
        <v>3739</v>
      </c>
      <c r="C400" s="915" t="str">
        <f t="shared" si="6"/>
        <v>5월</v>
      </c>
      <c r="D400" s="916" t="s">
        <v>3740</v>
      </c>
      <c r="E400" s="916"/>
      <c r="F400" s="916" t="s">
        <v>4104</v>
      </c>
      <c r="G400" s="915"/>
      <c r="H400" s="917">
        <v>12600</v>
      </c>
      <c r="I400" s="918"/>
      <c r="J400" s="918"/>
    </row>
    <row r="401" spans="1:10">
      <c r="A401" t="s">
        <v>4110</v>
      </c>
      <c r="B401" s="915" t="s">
        <v>3739</v>
      </c>
      <c r="C401" s="915" t="str">
        <f t="shared" si="6"/>
        <v>5월</v>
      </c>
      <c r="D401" s="916" t="s">
        <v>3740</v>
      </c>
      <c r="E401" s="916"/>
      <c r="F401" s="916" t="s">
        <v>3733</v>
      </c>
      <c r="G401" s="915"/>
      <c r="H401" s="917">
        <v>11200</v>
      </c>
      <c r="I401" s="918"/>
      <c r="J401" s="918"/>
    </row>
    <row r="402" spans="1:10">
      <c r="A402" t="s">
        <v>4110</v>
      </c>
      <c r="B402" s="915" t="s">
        <v>3739</v>
      </c>
      <c r="C402" s="915" t="str">
        <f t="shared" si="6"/>
        <v>5월</v>
      </c>
      <c r="D402" s="916" t="s">
        <v>3740</v>
      </c>
      <c r="E402" s="916"/>
      <c r="F402" s="916" t="s">
        <v>3733</v>
      </c>
      <c r="G402" s="915"/>
      <c r="H402" s="917">
        <v>8400</v>
      </c>
      <c r="I402" s="918"/>
      <c r="J402" s="917">
        <v>434100</v>
      </c>
    </row>
    <row r="403" spans="1:10">
      <c r="A403" t="s">
        <v>4110</v>
      </c>
      <c r="B403" s="915" t="s">
        <v>3748</v>
      </c>
      <c r="C403" s="915" t="str">
        <f t="shared" si="6"/>
        <v>6월</v>
      </c>
      <c r="D403" s="916" t="s">
        <v>3740</v>
      </c>
      <c r="E403" s="916"/>
      <c r="F403" s="916" t="s">
        <v>4105</v>
      </c>
      <c r="G403" s="915"/>
      <c r="H403" s="917">
        <v>2500</v>
      </c>
      <c r="I403" s="918"/>
      <c r="J403" s="918"/>
    </row>
    <row r="404" spans="1:10">
      <c r="A404" t="s">
        <v>4110</v>
      </c>
      <c r="B404" s="915" t="s">
        <v>3748</v>
      </c>
      <c r="C404" s="915" t="str">
        <f t="shared" si="6"/>
        <v>6월</v>
      </c>
      <c r="D404" s="916" t="s">
        <v>3740</v>
      </c>
      <c r="E404" s="916"/>
      <c r="F404" s="916" t="s">
        <v>4106</v>
      </c>
      <c r="G404" s="915"/>
      <c r="H404" s="917">
        <v>5900</v>
      </c>
      <c r="I404" s="918"/>
      <c r="J404" s="918"/>
    </row>
    <row r="405" spans="1:10">
      <c r="A405" t="s">
        <v>4110</v>
      </c>
      <c r="B405" s="915" t="s">
        <v>3748</v>
      </c>
      <c r="C405" s="915" t="str">
        <f t="shared" si="6"/>
        <v>6월</v>
      </c>
      <c r="D405" s="916" t="s">
        <v>3740</v>
      </c>
      <c r="E405" s="916"/>
      <c r="F405" s="916" t="s">
        <v>3733</v>
      </c>
      <c r="G405" s="915"/>
      <c r="H405" s="917">
        <v>3500</v>
      </c>
      <c r="I405" s="918"/>
      <c r="J405" s="917">
        <v>446000</v>
      </c>
    </row>
    <row r="406" spans="1:10">
      <c r="A406" t="s">
        <v>4110</v>
      </c>
      <c r="B406" s="915" t="s">
        <v>3757</v>
      </c>
      <c r="C406" s="915" t="str">
        <f t="shared" si="6"/>
        <v>7월</v>
      </c>
      <c r="D406" s="916" t="s">
        <v>3740</v>
      </c>
      <c r="E406" s="916"/>
      <c r="F406" s="916" t="s">
        <v>3733</v>
      </c>
      <c r="G406" s="915"/>
      <c r="H406" s="917">
        <v>15100</v>
      </c>
      <c r="I406" s="918"/>
      <c r="J406" s="918"/>
    </row>
    <row r="407" spans="1:10">
      <c r="A407" t="s">
        <v>4110</v>
      </c>
      <c r="B407" s="915" t="s">
        <v>3757</v>
      </c>
      <c r="C407" s="915" t="str">
        <f t="shared" si="6"/>
        <v>7월</v>
      </c>
      <c r="D407" s="916" t="s">
        <v>3740</v>
      </c>
      <c r="E407" s="916"/>
      <c r="F407" s="916" t="s">
        <v>4107</v>
      </c>
      <c r="G407" s="915"/>
      <c r="H407" s="917">
        <v>9700</v>
      </c>
      <c r="I407" s="918"/>
      <c r="J407" s="918"/>
    </row>
    <row r="408" spans="1:10">
      <c r="A408" t="s">
        <v>4110</v>
      </c>
      <c r="B408" s="915" t="s">
        <v>3757</v>
      </c>
      <c r="C408" s="915" t="str">
        <f t="shared" si="6"/>
        <v>7월</v>
      </c>
      <c r="D408" s="916" t="s">
        <v>3740</v>
      </c>
      <c r="E408" s="916"/>
      <c r="F408" s="916" t="s">
        <v>4108</v>
      </c>
      <c r="G408" s="915"/>
      <c r="H408" s="917">
        <v>14200</v>
      </c>
      <c r="I408" s="918"/>
      <c r="J408" s="918"/>
    </row>
    <row r="409" spans="1:10">
      <c r="A409" t="s">
        <v>4110</v>
      </c>
      <c r="B409" s="915" t="s">
        <v>3757</v>
      </c>
      <c r="C409" s="915" t="str">
        <f t="shared" si="6"/>
        <v>7월</v>
      </c>
      <c r="D409" s="916" t="s">
        <v>3740</v>
      </c>
      <c r="E409" s="916"/>
      <c r="F409" s="916" t="s">
        <v>3733</v>
      </c>
      <c r="G409" s="915"/>
      <c r="H409" s="917">
        <v>4200</v>
      </c>
      <c r="I409" s="918"/>
      <c r="J409" s="918"/>
    </row>
    <row r="410" spans="1:10">
      <c r="A410" t="s">
        <v>4110</v>
      </c>
      <c r="B410" s="915" t="s">
        <v>3757</v>
      </c>
      <c r="C410" s="915" t="str">
        <f t="shared" si="6"/>
        <v>7월</v>
      </c>
      <c r="D410" s="916" t="s">
        <v>3740</v>
      </c>
      <c r="E410" s="916"/>
      <c r="F410" s="916" t="s">
        <v>3733</v>
      </c>
      <c r="G410" s="915"/>
      <c r="H410" s="917">
        <v>8800</v>
      </c>
      <c r="I410" s="918"/>
      <c r="J410" s="918"/>
    </row>
    <row r="411" spans="1:10">
      <c r="A411" t="s">
        <v>4110</v>
      </c>
      <c r="B411" s="915" t="s">
        <v>3757</v>
      </c>
      <c r="C411" s="915" t="str">
        <f t="shared" si="6"/>
        <v>7월</v>
      </c>
      <c r="D411" s="916" t="s">
        <v>3740</v>
      </c>
      <c r="E411" s="916"/>
      <c r="F411" s="916" t="s">
        <v>3733</v>
      </c>
      <c r="G411" s="915"/>
      <c r="H411" s="917">
        <v>7900</v>
      </c>
      <c r="I411" s="918"/>
      <c r="J411" s="917">
        <v>505900</v>
      </c>
    </row>
    <row r="412" spans="1:10">
      <c r="A412" t="s">
        <v>4110</v>
      </c>
      <c r="B412" s="915" t="s">
        <v>4109</v>
      </c>
      <c r="C412" s="915" t="str">
        <f t="shared" si="6"/>
        <v>10월</v>
      </c>
      <c r="D412" s="916" t="s">
        <v>4101</v>
      </c>
      <c r="E412" s="916"/>
      <c r="F412" s="916" t="s">
        <v>3733</v>
      </c>
      <c r="G412" s="915"/>
      <c r="H412" s="917">
        <v>2400</v>
      </c>
      <c r="I412" s="918"/>
      <c r="J412" s="917">
        <v>508300</v>
      </c>
    </row>
    <row r="413" spans="1:10">
      <c r="A413" t="s">
        <v>4128</v>
      </c>
      <c r="B413" s="915" t="s">
        <v>3632</v>
      </c>
      <c r="C413" s="915" t="str">
        <f t="shared" si="6"/>
        <v>1월</v>
      </c>
      <c r="D413" s="916" t="s">
        <v>4111</v>
      </c>
      <c r="E413" s="916"/>
      <c r="F413" s="916" t="s">
        <v>4112</v>
      </c>
      <c r="G413" s="915"/>
      <c r="H413" s="917">
        <v>18000</v>
      </c>
      <c r="I413" s="918"/>
      <c r="J413" s="917">
        <v>18000</v>
      </c>
    </row>
    <row r="414" spans="1:10">
      <c r="A414" t="s">
        <v>4128</v>
      </c>
      <c r="B414" s="915" t="s">
        <v>4113</v>
      </c>
      <c r="C414" s="915" t="str">
        <f t="shared" si="6"/>
        <v>3월</v>
      </c>
      <c r="D414" s="916" t="s">
        <v>4114</v>
      </c>
      <c r="E414" s="916"/>
      <c r="F414" s="916" t="s">
        <v>4112</v>
      </c>
      <c r="G414" s="915"/>
      <c r="H414" s="917">
        <v>280250</v>
      </c>
      <c r="I414" s="918"/>
      <c r="J414" s="917">
        <v>298250</v>
      </c>
    </row>
    <row r="415" spans="1:10">
      <c r="A415" t="s">
        <v>4128</v>
      </c>
      <c r="B415" s="915" t="s">
        <v>3719</v>
      </c>
      <c r="C415" s="915" t="str">
        <f t="shared" si="6"/>
        <v>4월</v>
      </c>
      <c r="D415" s="916" t="s">
        <v>4115</v>
      </c>
      <c r="E415" s="916" t="s">
        <v>4116</v>
      </c>
      <c r="F415" s="916" t="s">
        <v>4117</v>
      </c>
      <c r="G415" s="915"/>
      <c r="H415" s="917">
        <v>145972</v>
      </c>
      <c r="I415" s="918"/>
      <c r="J415" s="917">
        <v>444222</v>
      </c>
    </row>
    <row r="416" spans="1:10">
      <c r="A416" t="s">
        <v>4128</v>
      </c>
      <c r="B416" s="915" t="s">
        <v>4118</v>
      </c>
      <c r="C416" s="915" t="str">
        <f t="shared" si="6"/>
        <v>7월</v>
      </c>
      <c r="D416" s="916" t="s">
        <v>4119</v>
      </c>
      <c r="E416" s="916"/>
      <c r="F416" s="916" t="s">
        <v>4112</v>
      </c>
      <c r="G416" s="915"/>
      <c r="H416" s="917">
        <v>2628990</v>
      </c>
      <c r="I416" s="918"/>
      <c r="J416" s="918"/>
    </row>
    <row r="417" spans="1:10">
      <c r="A417" t="s">
        <v>4128</v>
      </c>
      <c r="B417" s="915" t="s">
        <v>4118</v>
      </c>
      <c r="C417" s="915" t="str">
        <f t="shared" si="6"/>
        <v>7월</v>
      </c>
      <c r="D417" s="916" t="s">
        <v>4120</v>
      </c>
      <c r="E417" s="916"/>
      <c r="F417" s="916" t="s">
        <v>4112</v>
      </c>
      <c r="G417" s="915"/>
      <c r="H417" s="917">
        <v>109750</v>
      </c>
      <c r="I417" s="918"/>
      <c r="J417" s="917">
        <v>3182962</v>
      </c>
    </row>
    <row r="418" spans="1:10">
      <c r="A418" t="s">
        <v>4128</v>
      </c>
      <c r="B418" s="915" t="s">
        <v>3767</v>
      </c>
      <c r="C418" s="915" t="str">
        <f t="shared" si="6"/>
        <v>7월</v>
      </c>
      <c r="D418" s="916" t="s">
        <v>4121</v>
      </c>
      <c r="E418" s="916" t="s">
        <v>4116</v>
      </c>
      <c r="F418" s="916" t="s">
        <v>4117</v>
      </c>
      <c r="G418" s="915"/>
      <c r="H418" s="917">
        <v>150128</v>
      </c>
      <c r="I418" s="918"/>
      <c r="J418" s="917">
        <v>3333090</v>
      </c>
    </row>
    <row r="419" spans="1:10" ht="33.75">
      <c r="A419" t="s">
        <v>4128</v>
      </c>
      <c r="B419" s="915" t="s">
        <v>3777</v>
      </c>
      <c r="C419" s="915" t="str">
        <f t="shared" si="6"/>
        <v>8월</v>
      </c>
      <c r="D419" s="916" t="s">
        <v>4122</v>
      </c>
      <c r="E419" s="916"/>
      <c r="F419" s="916" t="s">
        <v>4112</v>
      </c>
      <c r="G419" s="915"/>
      <c r="H419" s="917">
        <v>62500</v>
      </c>
      <c r="I419" s="918"/>
      <c r="J419" s="917">
        <v>3395590</v>
      </c>
    </row>
    <row r="420" spans="1:10">
      <c r="A420" t="s">
        <v>4128</v>
      </c>
      <c r="B420" s="915" t="s">
        <v>3795</v>
      </c>
      <c r="C420" s="915" t="str">
        <f t="shared" si="6"/>
        <v>9월</v>
      </c>
      <c r="D420" s="916" t="s">
        <v>4123</v>
      </c>
      <c r="E420" s="916"/>
      <c r="F420" s="916" t="s">
        <v>4112</v>
      </c>
      <c r="G420" s="915"/>
      <c r="H420" s="917">
        <v>5945060</v>
      </c>
      <c r="I420" s="918"/>
      <c r="J420" s="917">
        <v>9340650</v>
      </c>
    </row>
    <row r="421" spans="1:10">
      <c r="A421" t="s">
        <v>4128</v>
      </c>
      <c r="B421" s="915" t="s">
        <v>4124</v>
      </c>
      <c r="C421" s="915" t="str">
        <f t="shared" si="6"/>
        <v>9월</v>
      </c>
      <c r="D421" s="916" t="s">
        <v>4114</v>
      </c>
      <c r="E421" s="916"/>
      <c r="F421" s="916" t="s">
        <v>4112</v>
      </c>
      <c r="G421" s="915"/>
      <c r="H421" s="917">
        <v>294290</v>
      </c>
      <c r="I421" s="918"/>
      <c r="J421" s="917">
        <v>9634940</v>
      </c>
    </row>
    <row r="422" spans="1:10">
      <c r="A422" t="s">
        <v>4128</v>
      </c>
      <c r="B422" s="915" t="s">
        <v>3811</v>
      </c>
      <c r="C422" s="915" t="str">
        <f t="shared" si="6"/>
        <v>10월</v>
      </c>
      <c r="D422" s="916" t="s">
        <v>4125</v>
      </c>
      <c r="E422" s="916"/>
      <c r="F422" s="916" t="s">
        <v>4112</v>
      </c>
      <c r="G422" s="915"/>
      <c r="H422" s="917">
        <v>879600</v>
      </c>
      <c r="I422" s="918"/>
      <c r="J422" s="917">
        <v>10514540</v>
      </c>
    </row>
    <row r="423" spans="1:10">
      <c r="A423" t="s">
        <v>4128</v>
      </c>
      <c r="B423" s="915" t="s">
        <v>3815</v>
      </c>
      <c r="C423" s="915" t="str">
        <f t="shared" si="6"/>
        <v>10월</v>
      </c>
      <c r="D423" s="916" t="s">
        <v>4126</v>
      </c>
      <c r="E423" s="916" t="s">
        <v>4116</v>
      </c>
      <c r="F423" s="916" t="s">
        <v>4117</v>
      </c>
      <c r="G423" s="915"/>
      <c r="H423" s="917">
        <v>149216</v>
      </c>
      <c r="I423" s="918"/>
      <c r="J423" s="917">
        <v>10663756</v>
      </c>
    </row>
    <row r="424" spans="1:10">
      <c r="A424" t="s">
        <v>4128</v>
      </c>
      <c r="B424" s="915" t="s">
        <v>3629</v>
      </c>
      <c r="C424" s="915" t="str">
        <f t="shared" si="6"/>
        <v>12월</v>
      </c>
      <c r="D424" s="916" t="s">
        <v>4127</v>
      </c>
      <c r="E424" s="916" t="s">
        <v>4116</v>
      </c>
      <c r="F424" s="916" t="s">
        <v>4117</v>
      </c>
      <c r="G424" s="915"/>
      <c r="H424" s="917">
        <v>147116</v>
      </c>
      <c r="I424" s="918"/>
      <c r="J424" s="918"/>
    </row>
    <row r="425" spans="1:10">
      <c r="A425" t="s">
        <v>4148</v>
      </c>
      <c r="B425" s="915" t="s">
        <v>4129</v>
      </c>
      <c r="C425" s="915" t="str">
        <f t="shared" si="6"/>
        <v>1월</v>
      </c>
      <c r="D425" s="916" t="s">
        <v>4130</v>
      </c>
      <c r="E425" s="916" t="s">
        <v>4131</v>
      </c>
      <c r="F425" s="916" t="s">
        <v>4132</v>
      </c>
      <c r="G425" s="915"/>
      <c r="H425" s="917">
        <v>600000</v>
      </c>
      <c r="I425" s="918"/>
      <c r="J425" s="917">
        <v>600000</v>
      </c>
    </row>
    <row r="426" spans="1:10">
      <c r="A426" t="s">
        <v>4148</v>
      </c>
      <c r="B426" s="915" t="s">
        <v>3685</v>
      </c>
      <c r="C426" s="915" t="str">
        <f t="shared" si="6"/>
        <v>2월</v>
      </c>
      <c r="D426" s="916" t="s">
        <v>4130</v>
      </c>
      <c r="E426" s="916" t="s">
        <v>4131</v>
      </c>
      <c r="F426" s="916" t="s">
        <v>4132</v>
      </c>
      <c r="G426" s="915"/>
      <c r="H426" s="917">
        <v>600000</v>
      </c>
      <c r="I426" s="918"/>
      <c r="J426" s="917">
        <v>1200000</v>
      </c>
    </row>
    <row r="427" spans="1:10">
      <c r="A427" t="s">
        <v>4148</v>
      </c>
      <c r="B427" s="915" t="s">
        <v>4133</v>
      </c>
      <c r="C427" s="915" t="str">
        <f t="shared" si="6"/>
        <v>3월</v>
      </c>
      <c r="D427" s="916" t="s">
        <v>4134</v>
      </c>
      <c r="E427" s="916" t="s">
        <v>4135</v>
      </c>
      <c r="F427" s="916" t="s">
        <v>4136</v>
      </c>
      <c r="G427" s="915"/>
      <c r="H427" s="917">
        <v>126220</v>
      </c>
      <c r="I427" s="918"/>
      <c r="J427" s="917">
        <v>1326220</v>
      </c>
    </row>
    <row r="428" spans="1:10">
      <c r="A428" t="s">
        <v>4148</v>
      </c>
      <c r="B428" s="915" t="s">
        <v>4137</v>
      </c>
      <c r="C428" s="915" t="str">
        <f t="shared" si="6"/>
        <v>3월</v>
      </c>
      <c r="D428" s="916" t="s">
        <v>4130</v>
      </c>
      <c r="E428" s="916" t="s">
        <v>4131</v>
      </c>
      <c r="F428" s="916" t="s">
        <v>4132</v>
      </c>
      <c r="G428" s="915"/>
      <c r="H428" s="917">
        <v>600000</v>
      </c>
      <c r="I428" s="918"/>
      <c r="J428" s="917">
        <v>1926220</v>
      </c>
    </row>
    <row r="429" spans="1:10">
      <c r="A429" t="s">
        <v>4148</v>
      </c>
      <c r="B429" s="915" t="s">
        <v>4138</v>
      </c>
      <c r="C429" s="915" t="str">
        <f t="shared" si="6"/>
        <v>4월</v>
      </c>
      <c r="D429" s="916" t="s">
        <v>4130</v>
      </c>
      <c r="E429" s="916" t="s">
        <v>4131</v>
      </c>
      <c r="F429" s="916" t="s">
        <v>4132</v>
      </c>
      <c r="G429" s="915"/>
      <c r="H429" s="917">
        <v>600000</v>
      </c>
      <c r="I429" s="918"/>
      <c r="J429" s="917">
        <v>2526220</v>
      </c>
    </row>
    <row r="430" spans="1:10">
      <c r="A430" t="s">
        <v>4148</v>
      </c>
      <c r="B430" s="915" t="s">
        <v>4139</v>
      </c>
      <c r="C430" s="915" t="str">
        <f t="shared" si="6"/>
        <v>5월</v>
      </c>
      <c r="D430" s="916" t="s">
        <v>4130</v>
      </c>
      <c r="E430" s="916" t="s">
        <v>4131</v>
      </c>
      <c r="F430" s="916" t="s">
        <v>4132</v>
      </c>
      <c r="G430" s="915"/>
      <c r="H430" s="917">
        <v>600000</v>
      </c>
      <c r="I430" s="918"/>
      <c r="J430" s="917">
        <v>3126220</v>
      </c>
    </row>
    <row r="431" spans="1:10">
      <c r="A431" t="s">
        <v>4148</v>
      </c>
      <c r="B431" s="915" t="s">
        <v>4140</v>
      </c>
      <c r="C431" s="915" t="str">
        <f t="shared" si="6"/>
        <v>6월</v>
      </c>
      <c r="D431" s="916" t="s">
        <v>4130</v>
      </c>
      <c r="E431" s="916" t="s">
        <v>4131</v>
      </c>
      <c r="F431" s="916" t="s">
        <v>4132</v>
      </c>
      <c r="G431" s="915"/>
      <c r="H431" s="917">
        <v>600000</v>
      </c>
      <c r="I431" s="918"/>
      <c r="J431" s="917">
        <v>3726220</v>
      </c>
    </row>
    <row r="432" spans="1:10">
      <c r="A432" t="s">
        <v>4148</v>
      </c>
      <c r="B432" s="915" t="s">
        <v>4141</v>
      </c>
      <c r="C432" s="915" t="str">
        <f t="shared" si="6"/>
        <v>7월</v>
      </c>
      <c r="D432" s="916" t="s">
        <v>4130</v>
      </c>
      <c r="E432" s="916" t="s">
        <v>4131</v>
      </c>
      <c r="F432" s="916" t="s">
        <v>4132</v>
      </c>
      <c r="G432" s="915"/>
      <c r="H432" s="917">
        <v>600000</v>
      </c>
      <c r="I432" s="918"/>
      <c r="J432" s="917">
        <v>4326220</v>
      </c>
    </row>
    <row r="433" spans="1:10">
      <c r="A433" t="s">
        <v>4148</v>
      </c>
      <c r="B433" s="915" t="s">
        <v>4142</v>
      </c>
      <c r="C433" s="915" t="str">
        <f t="shared" si="6"/>
        <v>8월</v>
      </c>
      <c r="D433" s="916" t="s">
        <v>4130</v>
      </c>
      <c r="E433" s="916" t="s">
        <v>4131</v>
      </c>
      <c r="F433" s="916" t="s">
        <v>4132</v>
      </c>
      <c r="G433" s="915"/>
      <c r="H433" s="917">
        <v>600000</v>
      </c>
      <c r="I433" s="918"/>
      <c r="J433" s="917">
        <v>4926220</v>
      </c>
    </row>
    <row r="434" spans="1:10">
      <c r="A434" t="s">
        <v>4148</v>
      </c>
      <c r="B434" s="915" t="s">
        <v>4143</v>
      </c>
      <c r="C434" s="915" t="str">
        <f t="shared" si="6"/>
        <v>9월</v>
      </c>
      <c r="D434" s="916" t="s">
        <v>4130</v>
      </c>
      <c r="E434" s="916" t="s">
        <v>4131</v>
      </c>
      <c r="F434" s="916" t="s">
        <v>4132</v>
      </c>
      <c r="G434" s="915"/>
      <c r="H434" s="917">
        <v>600000</v>
      </c>
      <c r="I434" s="918"/>
      <c r="J434" s="917">
        <v>5526220</v>
      </c>
    </row>
    <row r="435" spans="1:10">
      <c r="A435" t="s">
        <v>4148</v>
      </c>
      <c r="B435" s="915" t="s">
        <v>4144</v>
      </c>
      <c r="C435" s="915" t="str">
        <f t="shared" si="6"/>
        <v>10월</v>
      </c>
      <c r="D435" s="916" t="s">
        <v>4130</v>
      </c>
      <c r="E435" s="916" t="s">
        <v>4131</v>
      </c>
      <c r="F435" s="916" t="s">
        <v>4132</v>
      </c>
      <c r="G435" s="915"/>
      <c r="H435" s="917">
        <v>600000</v>
      </c>
      <c r="I435" s="918"/>
      <c r="J435" s="917">
        <v>6126220</v>
      </c>
    </row>
    <row r="436" spans="1:10">
      <c r="A436" t="s">
        <v>4148</v>
      </c>
      <c r="B436" s="915" t="s">
        <v>3838</v>
      </c>
      <c r="C436" s="915" t="str">
        <f t="shared" si="6"/>
        <v>11월</v>
      </c>
      <c r="D436" s="916" t="s">
        <v>4130</v>
      </c>
      <c r="E436" s="916" t="s">
        <v>4131</v>
      </c>
      <c r="F436" s="916" t="s">
        <v>4132</v>
      </c>
      <c r="G436" s="915"/>
      <c r="H436" s="917">
        <v>600000</v>
      </c>
      <c r="I436" s="918"/>
      <c r="J436" s="917">
        <v>6726220</v>
      </c>
    </row>
    <row r="437" spans="1:10">
      <c r="A437" t="s">
        <v>4148</v>
      </c>
      <c r="B437" s="915" t="s">
        <v>4145</v>
      </c>
      <c r="C437" s="915" t="str">
        <f t="shared" si="6"/>
        <v>12월</v>
      </c>
      <c r="D437" s="916" t="s">
        <v>4130</v>
      </c>
      <c r="E437" s="916" t="s">
        <v>4131</v>
      </c>
      <c r="F437" s="916" t="s">
        <v>4132</v>
      </c>
      <c r="G437" s="915"/>
      <c r="H437" s="917">
        <v>600000</v>
      </c>
      <c r="I437" s="918"/>
      <c r="J437" s="917">
        <v>7326220</v>
      </c>
    </row>
    <row r="438" spans="1:10">
      <c r="A438" t="s">
        <v>4148</v>
      </c>
      <c r="B438" s="915" t="s">
        <v>3629</v>
      </c>
      <c r="C438" s="915" t="str">
        <f t="shared" si="6"/>
        <v>12월</v>
      </c>
      <c r="D438" s="916" t="s">
        <v>4146</v>
      </c>
      <c r="E438" s="916" t="s">
        <v>4147</v>
      </c>
      <c r="F438" s="916" t="s">
        <v>3191</v>
      </c>
      <c r="G438" s="915"/>
      <c r="H438" s="917">
        <v>-6096348</v>
      </c>
      <c r="I438" s="918"/>
      <c r="J438" s="918"/>
    </row>
    <row r="439" spans="1:10">
      <c r="A439" t="s">
        <v>4220</v>
      </c>
      <c r="B439" s="915" t="s">
        <v>3632</v>
      </c>
      <c r="C439" s="915" t="str">
        <f t="shared" si="6"/>
        <v>1월</v>
      </c>
      <c r="D439" s="916" t="s">
        <v>4149</v>
      </c>
      <c r="E439" s="916" t="s">
        <v>4150</v>
      </c>
      <c r="F439" s="916" t="s">
        <v>4151</v>
      </c>
      <c r="G439" s="915" t="s">
        <v>4152</v>
      </c>
      <c r="H439" s="917">
        <v>280350</v>
      </c>
      <c r="I439" s="918"/>
      <c r="J439" s="918"/>
    </row>
    <row r="440" spans="1:10">
      <c r="A440" t="s">
        <v>4220</v>
      </c>
      <c r="B440" s="915" t="s">
        <v>3632</v>
      </c>
      <c r="C440" s="915" t="str">
        <f t="shared" si="6"/>
        <v>1월</v>
      </c>
      <c r="D440" s="916" t="s">
        <v>4149</v>
      </c>
      <c r="E440" s="916" t="s">
        <v>4150</v>
      </c>
      <c r="F440" s="916" t="s">
        <v>4151</v>
      </c>
      <c r="G440" s="915" t="s">
        <v>4152</v>
      </c>
      <c r="H440" s="917">
        <v>95160</v>
      </c>
      <c r="I440" s="918"/>
      <c r="J440" s="918"/>
    </row>
    <row r="441" spans="1:10">
      <c r="A441" t="s">
        <v>4220</v>
      </c>
      <c r="B441" s="915" t="s">
        <v>3632</v>
      </c>
      <c r="C441" s="915" t="str">
        <f t="shared" si="6"/>
        <v>1월</v>
      </c>
      <c r="D441" s="916" t="s">
        <v>4149</v>
      </c>
      <c r="E441" s="916" t="s">
        <v>4150</v>
      </c>
      <c r="F441" s="916" t="s">
        <v>4151</v>
      </c>
      <c r="G441" s="915" t="s">
        <v>4152</v>
      </c>
      <c r="H441" s="917">
        <v>86590</v>
      </c>
      <c r="I441" s="918"/>
      <c r="J441" s="917">
        <v>462100</v>
      </c>
    </row>
    <row r="442" spans="1:10">
      <c r="A442" t="s">
        <v>4220</v>
      </c>
      <c r="B442" s="915" t="s">
        <v>3932</v>
      </c>
      <c r="C442" s="915" t="str">
        <f t="shared" si="6"/>
        <v>1월</v>
      </c>
      <c r="D442" s="916" t="s">
        <v>4153</v>
      </c>
      <c r="E442" s="916"/>
      <c r="F442" s="916" t="s">
        <v>4154</v>
      </c>
      <c r="G442" s="915"/>
      <c r="H442" s="917">
        <v>415400</v>
      </c>
      <c r="I442" s="918"/>
      <c r="J442" s="918"/>
    </row>
    <row r="443" spans="1:10">
      <c r="A443" t="s">
        <v>4220</v>
      </c>
      <c r="B443" s="915" t="s">
        <v>3932</v>
      </c>
      <c r="C443" s="915" t="str">
        <f t="shared" si="6"/>
        <v>1월</v>
      </c>
      <c r="D443" s="916" t="s">
        <v>4155</v>
      </c>
      <c r="E443" s="916"/>
      <c r="F443" s="916" t="s">
        <v>4156</v>
      </c>
      <c r="G443" s="915"/>
      <c r="H443" s="917">
        <v>105210</v>
      </c>
      <c r="I443" s="918"/>
      <c r="J443" s="918"/>
    </row>
    <row r="444" spans="1:10">
      <c r="A444" t="s">
        <v>4220</v>
      </c>
      <c r="B444" s="915" t="s">
        <v>3932</v>
      </c>
      <c r="C444" s="915" t="str">
        <f t="shared" si="6"/>
        <v>1월</v>
      </c>
      <c r="D444" s="916" t="s">
        <v>4157</v>
      </c>
      <c r="E444" s="916"/>
      <c r="F444" s="916" t="s">
        <v>4156</v>
      </c>
      <c r="G444" s="915"/>
      <c r="H444" s="917">
        <v>173910</v>
      </c>
      <c r="I444" s="918"/>
      <c r="J444" s="918"/>
    </row>
    <row r="445" spans="1:10">
      <c r="A445" t="s">
        <v>4220</v>
      </c>
      <c r="B445" s="915" t="s">
        <v>3932</v>
      </c>
      <c r="C445" s="915" t="str">
        <f t="shared" si="6"/>
        <v>1월</v>
      </c>
      <c r="D445" s="916" t="s">
        <v>4158</v>
      </c>
      <c r="E445" s="916"/>
      <c r="F445" s="916" t="s">
        <v>4156</v>
      </c>
      <c r="G445" s="915"/>
      <c r="H445" s="917">
        <v>337910</v>
      </c>
      <c r="I445" s="918"/>
      <c r="J445" s="917">
        <v>1494530</v>
      </c>
    </row>
    <row r="446" spans="1:10">
      <c r="A446" t="s">
        <v>4220</v>
      </c>
      <c r="B446" s="915" t="s">
        <v>3649</v>
      </c>
      <c r="C446" s="915" t="str">
        <f t="shared" si="6"/>
        <v>1월</v>
      </c>
      <c r="D446" s="916" t="s">
        <v>4159</v>
      </c>
      <c r="E446" s="916" t="s">
        <v>4160</v>
      </c>
      <c r="F446" s="916" t="s">
        <v>4161</v>
      </c>
      <c r="G446" s="915" t="s">
        <v>4162</v>
      </c>
      <c r="H446" s="917">
        <v>-83080</v>
      </c>
      <c r="I446" s="918"/>
      <c r="J446" s="918"/>
    </row>
    <row r="447" spans="1:10">
      <c r="A447" t="s">
        <v>4220</v>
      </c>
      <c r="B447" s="915" t="s">
        <v>3649</v>
      </c>
      <c r="C447" s="915" t="str">
        <f t="shared" si="6"/>
        <v>1월</v>
      </c>
      <c r="D447" s="916" t="s">
        <v>4163</v>
      </c>
      <c r="E447" s="916" t="s">
        <v>4164</v>
      </c>
      <c r="F447" s="916" t="s">
        <v>4165</v>
      </c>
      <c r="G447" s="915" t="s">
        <v>4166</v>
      </c>
      <c r="H447" s="917">
        <v>-166160</v>
      </c>
      <c r="I447" s="918"/>
      <c r="J447" s="917">
        <v>1245290</v>
      </c>
    </row>
    <row r="448" spans="1:10">
      <c r="A448" t="s">
        <v>4220</v>
      </c>
      <c r="B448" s="915" t="s">
        <v>4167</v>
      </c>
      <c r="C448" s="915" t="str">
        <f t="shared" si="6"/>
        <v>2월</v>
      </c>
      <c r="D448" s="916" t="s">
        <v>4168</v>
      </c>
      <c r="E448" s="916" t="s">
        <v>4150</v>
      </c>
      <c r="F448" s="916" t="s">
        <v>4151</v>
      </c>
      <c r="G448" s="915" t="s">
        <v>4152</v>
      </c>
      <c r="H448" s="917">
        <v>295430</v>
      </c>
      <c r="I448" s="918"/>
      <c r="J448" s="918"/>
    </row>
    <row r="449" spans="1:10">
      <c r="A449" t="s">
        <v>4220</v>
      </c>
      <c r="B449" s="915" t="s">
        <v>4167</v>
      </c>
      <c r="C449" s="915" t="str">
        <f t="shared" si="6"/>
        <v>2월</v>
      </c>
      <c r="D449" s="916" t="s">
        <v>4169</v>
      </c>
      <c r="E449" s="916" t="s">
        <v>4150</v>
      </c>
      <c r="F449" s="916" t="s">
        <v>4151</v>
      </c>
      <c r="G449" s="915" t="s">
        <v>4152</v>
      </c>
      <c r="H449" s="917">
        <v>129150</v>
      </c>
      <c r="I449" s="918"/>
      <c r="J449" s="918"/>
    </row>
    <row r="450" spans="1:10">
      <c r="A450" t="s">
        <v>4220</v>
      </c>
      <c r="B450" s="915" t="s">
        <v>4167</v>
      </c>
      <c r="C450" s="915" t="str">
        <f t="shared" si="6"/>
        <v>2월</v>
      </c>
      <c r="D450" s="916" t="s">
        <v>4170</v>
      </c>
      <c r="E450" s="916" t="s">
        <v>4150</v>
      </c>
      <c r="F450" s="916" t="s">
        <v>4151</v>
      </c>
      <c r="G450" s="915" t="s">
        <v>4152</v>
      </c>
      <c r="H450" s="917">
        <v>340530</v>
      </c>
      <c r="I450" s="918"/>
      <c r="J450" s="917">
        <v>2010400</v>
      </c>
    </row>
    <row r="451" spans="1:10">
      <c r="A451" t="s">
        <v>4220</v>
      </c>
      <c r="B451" s="915" t="s">
        <v>3687</v>
      </c>
      <c r="C451" s="915" t="str">
        <f t="shared" ref="C451:C514" si="7">MONTH(B451)&amp;"월"</f>
        <v>2월</v>
      </c>
      <c r="D451" s="916" t="s">
        <v>4158</v>
      </c>
      <c r="E451" s="916" t="s">
        <v>4171</v>
      </c>
      <c r="F451" s="916" t="s">
        <v>4172</v>
      </c>
      <c r="G451" s="915" t="s">
        <v>4173</v>
      </c>
      <c r="H451" s="917">
        <v>312340</v>
      </c>
      <c r="I451" s="918"/>
      <c r="J451" s="918"/>
    </row>
    <row r="452" spans="1:10">
      <c r="A452" t="s">
        <v>4220</v>
      </c>
      <c r="B452" s="915" t="s">
        <v>3687</v>
      </c>
      <c r="C452" s="915" t="str">
        <f t="shared" si="7"/>
        <v>2월</v>
      </c>
      <c r="D452" s="916" t="s">
        <v>4155</v>
      </c>
      <c r="E452" s="916" t="s">
        <v>4171</v>
      </c>
      <c r="F452" s="916" t="s">
        <v>4172</v>
      </c>
      <c r="G452" s="915" t="s">
        <v>4173</v>
      </c>
      <c r="H452" s="917">
        <v>100700</v>
      </c>
      <c r="I452" s="918"/>
      <c r="J452" s="917">
        <v>2423440</v>
      </c>
    </row>
    <row r="453" spans="1:10">
      <c r="A453" t="s">
        <v>4220</v>
      </c>
      <c r="B453" s="915" t="s">
        <v>3696</v>
      </c>
      <c r="C453" s="915" t="str">
        <f t="shared" si="7"/>
        <v>3월</v>
      </c>
      <c r="D453" s="916" t="s">
        <v>4174</v>
      </c>
      <c r="E453" s="916" t="s">
        <v>4150</v>
      </c>
      <c r="F453" s="916" t="s">
        <v>4151</v>
      </c>
      <c r="G453" s="915" t="s">
        <v>4152</v>
      </c>
      <c r="H453" s="917">
        <v>360940</v>
      </c>
      <c r="I453" s="918"/>
      <c r="J453" s="918"/>
    </row>
    <row r="454" spans="1:10">
      <c r="A454" t="s">
        <v>4220</v>
      </c>
      <c r="B454" s="915" t="s">
        <v>3696</v>
      </c>
      <c r="C454" s="915" t="str">
        <f t="shared" si="7"/>
        <v>3월</v>
      </c>
      <c r="D454" s="916" t="s">
        <v>4175</v>
      </c>
      <c r="E454" s="916" t="s">
        <v>4150</v>
      </c>
      <c r="F454" s="916" t="s">
        <v>4151</v>
      </c>
      <c r="G454" s="915" t="s">
        <v>4152</v>
      </c>
      <c r="H454" s="917">
        <v>274060</v>
      </c>
      <c r="I454" s="918"/>
      <c r="J454" s="917">
        <v>3058440</v>
      </c>
    </row>
    <row r="455" spans="1:10">
      <c r="A455" t="s">
        <v>4220</v>
      </c>
      <c r="B455" s="915" t="s">
        <v>3706</v>
      </c>
      <c r="C455" s="915" t="str">
        <f t="shared" si="7"/>
        <v>3월</v>
      </c>
      <c r="D455" s="916" t="s">
        <v>4155</v>
      </c>
      <c r="E455" s="916" t="s">
        <v>4171</v>
      </c>
      <c r="F455" s="916" t="s">
        <v>4172</v>
      </c>
      <c r="G455" s="915" t="s">
        <v>4173</v>
      </c>
      <c r="H455" s="917">
        <v>90440</v>
      </c>
      <c r="I455" s="918"/>
      <c r="J455" s="918"/>
    </row>
    <row r="456" spans="1:10">
      <c r="A456" t="s">
        <v>4220</v>
      </c>
      <c r="B456" s="915" t="s">
        <v>3706</v>
      </c>
      <c r="C456" s="915" t="str">
        <f t="shared" si="7"/>
        <v>3월</v>
      </c>
      <c r="D456" s="916" t="s">
        <v>4176</v>
      </c>
      <c r="E456" s="916"/>
      <c r="F456" s="916" t="s">
        <v>4154</v>
      </c>
      <c r="G456" s="915"/>
      <c r="H456" s="917">
        <v>412190</v>
      </c>
      <c r="I456" s="918"/>
      <c r="J456" s="918"/>
    </row>
    <row r="457" spans="1:10">
      <c r="A457" t="s">
        <v>4220</v>
      </c>
      <c r="B457" s="915" t="s">
        <v>3706</v>
      </c>
      <c r="C457" s="915" t="str">
        <f t="shared" si="7"/>
        <v>3월</v>
      </c>
      <c r="D457" s="916" t="s">
        <v>4158</v>
      </c>
      <c r="E457" s="916" t="s">
        <v>4171</v>
      </c>
      <c r="F457" s="916" t="s">
        <v>4172</v>
      </c>
      <c r="G457" s="915" t="s">
        <v>4173</v>
      </c>
      <c r="H457" s="917">
        <v>246460</v>
      </c>
      <c r="I457" s="918"/>
      <c r="J457" s="917">
        <v>3807530</v>
      </c>
    </row>
    <row r="458" spans="1:10">
      <c r="A458" t="s">
        <v>4220</v>
      </c>
      <c r="B458" s="915" t="s">
        <v>4177</v>
      </c>
      <c r="C458" s="915" t="str">
        <f t="shared" si="7"/>
        <v>3월</v>
      </c>
      <c r="D458" s="916" t="s">
        <v>4178</v>
      </c>
      <c r="E458" s="916" t="s">
        <v>4179</v>
      </c>
      <c r="F458" s="916" t="s">
        <v>4112</v>
      </c>
      <c r="G458" s="915"/>
      <c r="H458" s="917">
        <v>-82430</v>
      </c>
      <c r="I458" s="918"/>
      <c r="J458" s="918"/>
    </row>
    <row r="459" spans="1:10">
      <c r="A459" t="s">
        <v>4220</v>
      </c>
      <c r="B459" s="915" t="s">
        <v>4177</v>
      </c>
      <c r="C459" s="915" t="str">
        <f t="shared" si="7"/>
        <v>3월</v>
      </c>
      <c r="D459" s="916" t="s">
        <v>4180</v>
      </c>
      <c r="E459" s="916" t="s">
        <v>4179</v>
      </c>
      <c r="F459" s="916" t="s">
        <v>4112</v>
      </c>
      <c r="G459" s="915"/>
      <c r="H459" s="917">
        <v>-164860</v>
      </c>
      <c r="I459" s="918"/>
      <c r="J459" s="917">
        <v>3560240</v>
      </c>
    </row>
    <row r="460" spans="1:10">
      <c r="A460" t="s">
        <v>4220</v>
      </c>
      <c r="B460" s="915" t="s">
        <v>4181</v>
      </c>
      <c r="C460" s="915" t="str">
        <f t="shared" si="7"/>
        <v>4월</v>
      </c>
      <c r="D460" s="916" t="s">
        <v>4182</v>
      </c>
      <c r="E460" s="916" t="s">
        <v>4150</v>
      </c>
      <c r="F460" s="916" t="s">
        <v>4151</v>
      </c>
      <c r="G460" s="915" t="s">
        <v>4152</v>
      </c>
      <c r="H460" s="917">
        <v>249000</v>
      </c>
      <c r="I460" s="918"/>
      <c r="J460" s="918"/>
    </row>
    <row r="461" spans="1:10">
      <c r="A461" t="s">
        <v>4220</v>
      </c>
      <c r="B461" s="915" t="s">
        <v>4181</v>
      </c>
      <c r="C461" s="915" t="str">
        <f t="shared" si="7"/>
        <v>4월</v>
      </c>
      <c r="D461" s="916" t="s">
        <v>4183</v>
      </c>
      <c r="E461" s="916" t="s">
        <v>4150</v>
      </c>
      <c r="F461" s="916" t="s">
        <v>4151</v>
      </c>
      <c r="G461" s="915" t="s">
        <v>4152</v>
      </c>
      <c r="H461" s="917">
        <v>181830</v>
      </c>
      <c r="I461" s="918"/>
      <c r="J461" s="917">
        <v>3991070</v>
      </c>
    </row>
    <row r="462" spans="1:10">
      <c r="A462" t="s">
        <v>4220</v>
      </c>
      <c r="B462" s="915" t="s">
        <v>3720</v>
      </c>
      <c r="C462" s="915" t="str">
        <f t="shared" si="7"/>
        <v>4월</v>
      </c>
      <c r="D462" s="916" t="s">
        <v>4155</v>
      </c>
      <c r="E462" s="916" t="s">
        <v>4171</v>
      </c>
      <c r="F462" s="916" t="s">
        <v>4172</v>
      </c>
      <c r="G462" s="915" t="s">
        <v>4173</v>
      </c>
      <c r="H462" s="917">
        <v>88200</v>
      </c>
      <c r="I462" s="918"/>
      <c r="J462" s="918"/>
    </row>
    <row r="463" spans="1:10">
      <c r="A463" t="s">
        <v>4220</v>
      </c>
      <c r="B463" s="915" t="s">
        <v>3720</v>
      </c>
      <c r="C463" s="915" t="str">
        <f t="shared" si="7"/>
        <v>4월</v>
      </c>
      <c r="D463" s="916" t="s">
        <v>4158</v>
      </c>
      <c r="E463" s="916" t="s">
        <v>4171</v>
      </c>
      <c r="F463" s="916" t="s">
        <v>4172</v>
      </c>
      <c r="G463" s="915" t="s">
        <v>4173</v>
      </c>
      <c r="H463" s="917">
        <v>208630</v>
      </c>
      <c r="I463" s="918"/>
      <c r="J463" s="917">
        <v>4287900</v>
      </c>
    </row>
    <row r="464" spans="1:10">
      <c r="A464" t="s">
        <v>4220</v>
      </c>
      <c r="B464" s="915" t="s">
        <v>3735</v>
      </c>
      <c r="C464" s="915" t="str">
        <f t="shared" si="7"/>
        <v>5월</v>
      </c>
      <c r="D464" s="916" t="s">
        <v>4184</v>
      </c>
      <c r="E464" s="916" t="s">
        <v>4150</v>
      </c>
      <c r="F464" s="916" t="s">
        <v>4151</v>
      </c>
      <c r="G464" s="915" t="s">
        <v>4152</v>
      </c>
      <c r="H464" s="917">
        <v>229300</v>
      </c>
      <c r="I464" s="918"/>
      <c r="J464" s="918"/>
    </row>
    <row r="465" spans="1:10">
      <c r="A465" t="s">
        <v>4220</v>
      </c>
      <c r="B465" s="915" t="s">
        <v>3735</v>
      </c>
      <c r="C465" s="915" t="str">
        <f t="shared" si="7"/>
        <v>5월</v>
      </c>
      <c r="D465" s="916" t="s">
        <v>4185</v>
      </c>
      <c r="E465" s="916" t="s">
        <v>4150</v>
      </c>
      <c r="F465" s="916" t="s">
        <v>4151</v>
      </c>
      <c r="G465" s="915" t="s">
        <v>4152</v>
      </c>
      <c r="H465" s="917">
        <v>139730</v>
      </c>
      <c r="I465" s="918"/>
      <c r="J465" s="917">
        <v>4656930</v>
      </c>
    </row>
    <row r="466" spans="1:10">
      <c r="A466" t="s">
        <v>4220</v>
      </c>
      <c r="B466" s="915" t="s">
        <v>4186</v>
      </c>
      <c r="C466" s="915" t="str">
        <f t="shared" si="7"/>
        <v>5월</v>
      </c>
      <c r="D466" s="916" t="s">
        <v>4187</v>
      </c>
      <c r="E466" s="916"/>
      <c r="F466" s="916" t="s">
        <v>4154</v>
      </c>
      <c r="G466" s="915"/>
      <c r="H466" s="917">
        <v>395760</v>
      </c>
      <c r="I466" s="918"/>
      <c r="J466" s="918"/>
    </row>
    <row r="467" spans="1:10">
      <c r="A467" t="s">
        <v>4220</v>
      </c>
      <c r="B467" s="915" t="s">
        <v>4186</v>
      </c>
      <c r="C467" s="915" t="str">
        <f t="shared" si="7"/>
        <v>5월</v>
      </c>
      <c r="D467" s="916" t="s">
        <v>4155</v>
      </c>
      <c r="E467" s="916" t="s">
        <v>4171</v>
      </c>
      <c r="F467" s="916" t="s">
        <v>4172</v>
      </c>
      <c r="G467" s="915" t="s">
        <v>4173</v>
      </c>
      <c r="H467" s="917">
        <v>86930</v>
      </c>
      <c r="I467" s="918"/>
      <c r="J467" s="918"/>
    </row>
    <row r="468" spans="1:10">
      <c r="A468" t="s">
        <v>4220</v>
      </c>
      <c r="B468" s="915" t="s">
        <v>4186</v>
      </c>
      <c r="C468" s="915" t="str">
        <f t="shared" si="7"/>
        <v>5월</v>
      </c>
      <c r="D468" s="916" t="s">
        <v>4158</v>
      </c>
      <c r="E468" s="916" t="s">
        <v>4171</v>
      </c>
      <c r="F468" s="916" t="s">
        <v>4172</v>
      </c>
      <c r="G468" s="915" t="s">
        <v>4173</v>
      </c>
      <c r="H468" s="917">
        <v>193790</v>
      </c>
      <c r="I468" s="918"/>
      <c r="J468" s="917">
        <v>5333410</v>
      </c>
    </row>
    <row r="469" spans="1:10">
      <c r="A469" t="s">
        <v>4220</v>
      </c>
      <c r="B469" s="915" t="s">
        <v>3747</v>
      </c>
      <c r="C469" s="915" t="str">
        <f t="shared" si="7"/>
        <v>5월</v>
      </c>
      <c r="D469" s="916" t="s">
        <v>4188</v>
      </c>
      <c r="E469" s="916" t="s">
        <v>4160</v>
      </c>
      <c r="F469" s="916" t="s">
        <v>4161</v>
      </c>
      <c r="G469" s="915" t="s">
        <v>4162</v>
      </c>
      <c r="H469" s="917">
        <v>-79150</v>
      </c>
      <c r="I469" s="918"/>
      <c r="J469" s="918"/>
    </row>
    <row r="470" spans="1:10">
      <c r="A470" t="s">
        <v>4220</v>
      </c>
      <c r="B470" s="915" t="s">
        <v>3747</v>
      </c>
      <c r="C470" s="915" t="str">
        <f t="shared" si="7"/>
        <v>5월</v>
      </c>
      <c r="D470" s="916" t="s">
        <v>4189</v>
      </c>
      <c r="E470" s="916" t="s">
        <v>4164</v>
      </c>
      <c r="F470" s="916" t="s">
        <v>4165</v>
      </c>
      <c r="G470" s="915" t="s">
        <v>4166</v>
      </c>
      <c r="H470" s="917">
        <v>-237450</v>
      </c>
      <c r="I470" s="918"/>
      <c r="J470" s="917">
        <v>5016810</v>
      </c>
    </row>
    <row r="471" spans="1:10">
      <c r="A471" t="s">
        <v>4220</v>
      </c>
      <c r="B471" s="915" t="s">
        <v>4190</v>
      </c>
      <c r="C471" s="915" t="str">
        <f t="shared" si="7"/>
        <v>6월</v>
      </c>
      <c r="D471" s="916" t="s">
        <v>4191</v>
      </c>
      <c r="E471" s="916" t="s">
        <v>4150</v>
      </c>
      <c r="F471" s="916" t="s">
        <v>4151</v>
      </c>
      <c r="G471" s="915" t="s">
        <v>4152</v>
      </c>
      <c r="H471" s="917">
        <v>126370</v>
      </c>
      <c r="I471" s="918"/>
      <c r="J471" s="918"/>
    </row>
    <row r="472" spans="1:10">
      <c r="A472" t="s">
        <v>4220</v>
      </c>
      <c r="B472" s="915" t="s">
        <v>4190</v>
      </c>
      <c r="C472" s="915" t="str">
        <f t="shared" si="7"/>
        <v>6월</v>
      </c>
      <c r="D472" s="916" t="s">
        <v>4192</v>
      </c>
      <c r="E472" s="916" t="s">
        <v>4150</v>
      </c>
      <c r="F472" s="916" t="s">
        <v>4151</v>
      </c>
      <c r="G472" s="915" t="s">
        <v>4152</v>
      </c>
      <c r="H472" s="917">
        <v>66300</v>
      </c>
      <c r="I472" s="918"/>
      <c r="J472" s="917">
        <v>5209480</v>
      </c>
    </row>
    <row r="473" spans="1:10">
      <c r="A473" t="s">
        <v>4220</v>
      </c>
      <c r="B473" s="915" t="s">
        <v>4140</v>
      </c>
      <c r="C473" s="915" t="str">
        <f t="shared" si="7"/>
        <v>6월</v>
      </c>
      <c r="D473" s="916" t="s">
        <v>4158</v>
      </c>
      <c r="E473" s="916" t="s">
        <v>4171</v>
      </c>
      <c r="F473" s="916" t="s">
        <v>4172</v>
      </c>
      <c r="G473" s="915" t="s">
        <v>4173</v>
      </c>
      <c r="H473" s="917">
        <v>197040</v>
      </c>
      <c r="I473" s="918"/>
      <c r="J473" s="918"/>
    </row>
    <row r="474" spans="1:10">
      <c r="A474" t="s">
        <v>4220</v>
      </c>
      <c r="B474" s="915" t="s">
        <v>4140</v>
      </c>
      <c r="C474" s="915" t="str">
        <f t="shared" si="7"/>
        <v>6월</v>
      </c>
      <c r="D474" s="916" t="s">
        <v>4155</v>
      </c>
      <c r="E474" s="916" t="s">
        <v>4171</v>
      </c>
      <c r="F474" s="916" t="s">
        <v>4172</v>
      </c>
      <c r="G474" s="915" t="s">
        <v>4173</v>
      </c>
      <c r="H474" s="917">
        <v>82950</v>
      </c>
      <c r="I474" s="918"/>
      <c r="J474" s="917">
        <v>5489470</v>
      </c>
    </row>
    <row r="475" spans="1:10">
      <c r="A475" t="s">
        <v>4220</v>
      </c>
      <c r="B475" s="915" t="s">
        <v>4118</v>
      </c>
      <c r="C475" s="915" t="str">
        <f t="shared" si="7"/>
        <v>7월</v>
      </c>
      <c r="D475" s="916" t="s">
        <v>4193</v>
      </c>
      <c r="E475" s="916" t="s">
        <v>4150</v>
      </c>
      <c r="F475" s="916" t="s">
        <v>4151</v>
      </c>
      <c r="G475" s="915" t="s">
        <v>4152</v>
      </c>
      <c r="H475" s="917">
        <v>4570</v>
      </c>
      <c r="I475" s="918"/>
      <c r="J475" s="917">
        <v>5494040</v>
      </c>
    </row>
    <row r="476" spans="1:10">
      <c r="A476" t="s">
        <v>4220</v>
      </c>
      <c r="B476" s="915" t="s">
        <v>3772</v>
      </c>
      <c r="C476" s="915" t="str">
        <f t="shared" si="7"/>
        <v>7월</v>
      </c>
      <c r="D476" s="916" t="s">
        <v>4194</v>
      </c>
      <c r="E476" s="916"/>
      <c r="F476" s="916" t="s">
        <v>4154</v>
      </c>
      <c r="G476" s="915"/>
      <c r="H476" s="917">
        <v>288360</v>
      </c>
      <c r="I476" s="918"/>
      <c r="J476" s="918"/>
    </row>
    <row r="477" spans="1:10">
      <c r="A477" t="s">
        <v>4220</v>
      </c>
      <c r="B477" s="915" t="s">
        <v>3772</v>
      </c>
      <c r="C477" s="915" t="str">
        <f t="shared" si="7"/>
        <v>7월</v>
      </c>
      <c r="D477" s="916" t="s">
        <v>4157</v>
      </c>
      <c r="E477" s="916"/>
      <c r="F477" s="916" t="s">
        <v>4156</v>
      </c>
      <c r="G477" s="915"/>
      <c r="H477" s="917">
        <v>111970</v>
      </c>
      <c r="I477" s="918"/>
      <c r="J477" s="918"/>
    </row>
    <row r="478" spans="1:10">
      <c r="A478" t="s">
        <v>4220</v>
      </c>
      <c r="B478" s="915" t="s">
        <v>3772</v>
      </c>
      <c r="C478" s="915" t="str">
        <f t="shared" si="7"/>
        <v>7월</v>
      </c>
      <c r="D478" s="916" t="s">
        <v>4158</v>
      </c>
      <c r="E478" s="916" t="s">
        <v>4171</v>
      </c>
      <c r="F478" s="916" t="s">
        <v>4172</v>
      </c>
      <c r="G478" s="915" t="s">
        <v>4173</v>
      </c>
      <c r="H478" s="917">
        <v>242210</v>
      </c>
      <c r="I478" s="918"/>
      <c r="J478" s="918"/>
    </row>
    <row r="479" spans="1:10">
      <c r="A479" t="s">
        <v>4220</v>
      </c>
      <c r="B479" s="915" t="s">
        <v>3772</v>
      </c>
      <c r="C479" s="915" t="str">
        <f t="shared" si="7"/>
        <v>7월</v>
      </c>
      <c r="D479" s="916" t="s">
        <v>4155</v>
      </c>
      <c r="E479" s="916" t="s">
        <v>4171</v>
      </c>
      <c r="F479" s="916" t="s">
        <v>4172</v>
      </c>
      <c r="G479" s="915" t="s">
        <v>4173</v>
      </c>
      <c r="H479" s="917">
        <v>84270</v>
      </c>
      <c r="I479" s="918"/>
      <c r="J479" s="917">
        <v>6220850</v>
      </c>
    </row>
    <row r="480" spans="1:10">
      <c r="A480" t="s">
        <v>4220</v>
      </c>
      <c r="B480" s="915" t="s">
        <v>3776</v>
      </c>
      <c r="C480" s="915" t="str">
        <f t="shared" si="7"/>
        <v>7월</v>
      </c>
      <c r="D480" s="916" t="s">
        <v>4195</v>
      </c>
      <c r="E480" s="916" t="s">
        <v>4160</v>
      </c>
      <c r="F480" s="916" t="s">
        <v>4161</v>
      </c>
      <c r="G480" s="915" t="s">
        <v>4162</v>
      </c>
      <c r="H480" s="917">
        <v>-57670</v>
      </c>
      <c r="I480" s="918"/>
      <c r="J480" s="918"/>
    </row>
    <row r="481" spans="1:10">
      <c r="A481" t="s">
        <v>4220</v>
      </c>
      <c r="B481" s="915" t="s">
        <v>3776</v>
      </c>
      <c r="C481" s="915" t="str">
        <f t="shared" si="7"/>
        <v>7월</v>
      </c>
      <c r="D481" s="916" t="s">
        <v>4196</v>
      </c>
      <c r="E481" s="916" t="s">
        <v>4197</v>
      </c>
      <c r="F481" s="916" t="s">
        <v>4198</v>
      </c>
      <c r="G481" s="915" t="s">
        <v>4199</v>
      </c>
      <c r="H481" s="917">
        <v>-20800</v>
      </c>
      <c r="I481" s="918"/>
      <c r="J481" s="917">
        <v>6142380</v>
      </c>
    </row>
    <row r="482" spans="1:10">
      <c r="A482" t="s">
        <v>4220</v>
      </c>
      <c r="B482" s="915" t="s">
        <v>4200</v>
      </c>
      <c r="C482" s="915" t="str">
        <f t="shared" si="7"/>
        <v>8월</v>
      </c>
      <c r="D482" s="916" t="s">
        <v>4201</v>
      </c>
      <c r="E482" s="916" t="s">
        <v>4202</v>
      </c>
      <c r="F482" s="916" t="s">
        <v>4203</v>
      </c>
      <c r="G482" s="915" t="s">
        <v>4204</v>
      </c>
      <c r="H482" s="917">
        <v>-23630</v>
      </c>
      <c r="I482" s="918"/>
      <c r="J482" s="917">
        <v>6118750</v>
      </c>
    </row>
    <row r="483" spans="1:10">
      <c r="A483" t="s">
        <v>4220</v>
      </c>
      <c r="B483" s="915" t="s">
        <v>4205</v>
      </c>
      <c r="C483" s="915" t="str">
        <f t="shared" si="7"/>
        <v>8월</v>
      </c>
      <c r="D483" s="916" t="s">
        <v>4155</v>
      </c>
      <c r="E483" s="916" t="s">
        <v>4171</v>
      </c>
      <c r="F483" s="916" t="s">
        <v>4172</v>
      </c>
      <c r="G483" s="915" t="s">
        <v>4173</v>
      </c>
      <c r="H483" s="917">
        <v>94270</v>
      </c>
      <c r="I483" s="918"/>
      <c r="J483" s="918"/>
    </row>
    <row r="484" spans="1:10">
      <c r="A484" t="s">
        <v>4220</v>
      </c>
      <c r="B484" s="915" t="s">
        <v>4205</v>
      </c>
      <c r="C484" s="915" t="str">
        <f t="shared" si="7"/>
        <v>8월</v>
      </c>
      <c r="D484" s="916" t="s">
        <v>4157</v>
      </c>
      <c r="E484" s="916"/>
      <c r="F484" s="916" t="s">
        <v>4156</v>
      </c>
      <c r="G484" s="915"/>
      <c r="H484" s="917">
        <v>167940</v>
      </c>
      <c r="I484" s="918"/>
      <c r="J484" s="918"/>
    </row>
    <row r="485" spans="1:10">
      <c r="A485" t="s">
        <v>4220</v>
      </c>
      <c r="B485" s="915" t="s">
        <v>4205</v>
      </c>
      <c r="C485" s="915" t="str">
        <f t="shared" si="7"/>
        <v>8월</v>
      </c>
      <c r="D485" s="916" t="s">
        <v>4158</v>
      </c>
      <c r="E485" s="916" t="s">
        <v>4171</v>
      </c>
      <c r="F485" s="916" t="s">
        <v>4172</v>
      </c>
      <c r="G485" s="915" t="s">
        <v>4173</v>
      </c>
      <c r="H485" s="917">
        <v>306580</v>
      </c>
      <c r="I485" s="918"/>
      <c r="J485" s="917">
        <v>6687540</v>
      </c>
    </row>
    <row r="486" spans="1:10">
      <c r="A486" t="s">
        <v>4220</v>
      </c>
      <c r="B486" s="915" t="s">
        <v>4143</v>
      </c>
      <c r="C486" s="915" t="str">
        <f t="shared" si="7"/>
        <v>9월</v>
      </c>
      <c r="D486" s="916" t="s">
        <v>4206</v>
      </c>
      <c r="E486" s="916"/>
      <c r="F486" s="916" t="s">
        <v>4154</v>
      </c>
      <c r="G486" s="915"/>
      <c r="H486" s="917">
        <v>260820</v>
      </c>
      <c r="I486" s="918"/>
      <c r="J486" s="917">
        <v>6948360</v>
      </c>
    </row>
    <row r="487" spans="1:10">
      <c r="A487" t="s">
        <v>4220</v>
      </c>
      <c r="B487" s="915" t="s">
        <v>4052</v>
      </c>
      <c r="C487" s="915" t="str">
        <f t="shared" si="7"/>
        <v>9월</v>
      </c>
      <c r="D487" s="916" t="s">
        <v>4157</v>
      </c>
      <c r="E487" s="916"/>
      <c r="F487" s="916" t="s">
        <v>4156</v>
      </c>
      <c r="G487" s="915"/>
      <c r="H487" s="917">
        <v>155000</v>
      </c>
      <c r="I487" s="918"/>
      <c r="J487" s="918"/>
    </row>
    <row r="488" spans="1:10">
      <c r="A488" t="s">
        <v>4220</v>
      </c>
      <c r="B488" s="915" t="s">
        <v>4052</v>
      </c>
      <c r="C488" s="915" t="str">
        <f t="shared" si="7"/>
        <v>9월</v>
      </c>
      <c r="D488" s="916" t="s">
        <v>4155</v>
      </c>
      <c r="E488" s="916" t="s">
        <v>4171</v>
      </c>
      <c r="F488" s="916" t="s">
        <v>4172</v>
      </c>
      <c r="G488" s="915" t="s">
        <v>4173</v>
      </c>
      <c r="H488" s="917">
        <v>91070</v>
      </c>
      <c r="I488" s="918"/>
      <c r="J488" s="918"/>
    </row>
    <row r="489" spans="1:10">
      <c r="A489" t="s">
        <v>4220</v>
      </c>
      <c r="B489" s="915" t="s">
        <v>4052</v>
      </c>
      <c r="C489" s="915" t="str">
        <f t="shared" si="7"/>
        <v>9월</v>
      </c>
      <c r="D489" s="916" t="s">
        <v>4158</v>
      </c>
      <c r="E489" s="916" t="s">
        <v>4171</v>
      </c>
      <c r="F489" s="916" t="s">
        <v>4172</v>
      </c>
      <c r="G489" s="915" t="s">
        <v>4173</v>
      </c>
      <c r="H489" s="917">
        <v>308950</v>
      </c>
      <c r="I489" s="918"/>
      <c r="J489" s="917">
        <v>7503380</v>
      </c>
    </row>
    <row r="490" spans="1:10">
      <c r="A490" t="s">
        <v>4220</v>
      </c>
      <c r="B490" s="915" t="s">
        <v>4207</v>
      </c>
      <c r="C490" s="915" t="str">
        <f t="shared" si="7"/>
        <v>9월</v>
      </c>
      <c r="D490" s="916" t="s">
        <v>4208</v>
      </c>
      <c r="E490" s="916" t="s">
        <v>4160</v>
      </c>
      <c r="F490" s="916" t="s">
        <v>4161</v>
      </c>
      <c r="G490" s="915" t="s">
        <v>4162</v>
      </c>
      <c r="H490" s="917">
        <v>-52160</v>
      </c>
      <c r="I490" s="918"/>
      <c r="J490" s="918"/>
    </row>
    <row r="491" spans="1:10">
      <c r="A491" t="s">
        <v>4220</v>
      </c>
      <c r="B491" s="915" t="s">
        <v>4207</v>
      </c>
      <c r="C491" s="915" t="str">
        <f t="shared" si="7"/>
        <v>9월</v>
      </c>
      <c r="D491" s="916" t="s">
        <v>4209</v>
      </c>
      <c r="E491" s="916" t="s">
        <v>4197</v>
      </c>
      <c r="F491" s="916" t="s">
        <v>4198</v>
      </c>
      <c r="G491" s="915" t="s">
        <v>4199</v>
      </c>
      <c r="H491" s="917">
        <v>-52160</v>
      </c>
      <c r="I491" s="918"/>
      <c r="J491" s="918"/>
    </row>
    <row r="492" spans="1:10">
      <c r="A492" t="s">
        <v>4220</v>
      </c>
      <c r="B492" s="915" t="s">
        <v>4207</v>
      </c>
      <c r="C492" s="915" t="str">
        <f t="shared" si="7"/>
        <v>9월</v>
      </c>
      <c r="D492" s="916" t="s">
        <v>4210</v>
      </c>
      <c r="E492" s="916" t="s">
        <v>4202</v>
      </c>
      <c r="F492" s="916" t="s">
        <v>4203</v>
      </c>
      <c r="G492" s="915" t="s">
        <v>4204</v>
      </c>
      <c r="H492" s="917">
        <v>-52160</v>
      </c>
      <c r="I492" s="918"/>
      <c r="J492" s="917">
        <v>7346900</v>
      </c>
    </row>
    <row r="493" spans="1:10">
      <c r="A493" t="s">
        <v>4220</v>
      </c>
      <c r="B493" s="915" t="s">
        <v>3898</v>
      </c>
      <c r="C493" s="915" t="str">
        <f t="shared" si="7"/>
        <v>10월</v>
      </c>
      <c r="D493" s="916" t="s">
        <v>4155</v>
      </c>
      <c r="E493" s="916" t="s">
        <v>4171</v>
      </c>
      <c r="F493" s="916" t="s">
        <v>4172</v>
      </c>
      <c r="G493" s="915" t="s">
        <v>4173</v>
      </c>
      <c r="H493" s="917">
        <v>77800</v>
      </c>
      <c r="I493" s="918"/>
      <c r="J493" s="918"/>
    </row>
    <row r="494" spans="1:10">
      <c r="A494" t="s">
        <v>4220</v>
      </c>
      <c r="B494" s="915" t="s">
        <v>3898</v>
      </c>
      <c r="C494" s="915" t="str">
        <f t="shared" si="7"/>
        <v>10월</v>
      </c>
      <c r="D494" s="916" t="s">
        <v>4157</v>
      </c>
      <c r="E494" s="916"/>
      <c r="F494" s="916" t="s">
        <v>4156</v>
      </c>
      <c r="G494" s="915"/>
      <c r="H494" s="917">
        <v>112150</v>
      </c>
      <c r="I494" s="918"/>
      <c r="J494" s="918"/>
    </row>
    <row r="495" spans="1:10">
      <c r="A495" t="s">
        <v>4220</v>
      </c>
      <c r="B495" s="915" t="s">
        <v>3898</v>
      </c>
      <c r="C495" s="915" t="str">
        <f t="shared" si="7"/>
        <v>10월</v>
      </c>
      <c r="D495" s="916" t="s">
        <v>4158</v>
      </c>
      <c r="E495" s="916" t="s">
        <v>4171</v>
      </c>
      <c r="F495" s="916" t="s">
        <v>4172</v>
      </c>
      <c r="G495" s="915" t="s">
        <v>4173</v>
      </c>
      <c r="H495" s="917">
        <v>180240</v>
      </c>
      <c r="I495" s="918"/>
      <c r="J495" s="917">
        <v>7717090</v>
      </c>
    </row>
    <row r="496" spans="1:10">
      <c r="A496" t="s">
        <v>4220</v>
      </c>
      <c r="B496" s="915" t="s">
        <v>3835</v>
      </c>
      <c r="C496" s="915" t="str">
        <f t="shared" si="7"/>
        <v>11월</v>
      </c>
      <c r="D496" s="916" t="s">
        <v>4211</v>
      </c>
      <c r="E496" s="916" t="s">
        <v>4150</v>
      </c>
      <c r="F496" s="916" t="s">
        <v>4151</v>
      </c>
      <c r="G496" s="915" t="s">
        <v>4152</v>
      </c>
      <c r="H496" s="917">
        <v>16820</v>
      </c>
      <c r="I496" s="918"/>
      <c r="J496" s="918"/>
    </row>
    <row r="497" spans="1:10">
      <c r="A497" t="s">
        <v>4220</v>
      </c>
      <c r="B497" s="915" t="s">
        <v>3835</v>
      </c>
      <c r="C497" s="915" t="str">
        <f t="shared" si="7"/>
        <v>11월</v>
      </c>
      <c r="D497" s="916" t="s">
        <v>4211</v>
      </c>
      <c r="E497" s="916" t="s">
        <v>4150</v>
      </c>
      <c r="F497" s="916" t="s">
        <v>4151</v>
      </c>
      <c r="G497" s="915" t="s">
        <v>4152</v>
      </c>
      <c r="H497" s="917">
        <v>6620</v>
      </c>
      <c r="I497" s="918"/>
      <c r="J497" s="917">
        <v>7740530</v>
      </c>
    </row>
    <row r="498" spans="1:10">
      <c r="A498" t="s">
        <v>4220</v>
      </c>
      <c r="B498" s="915" t="s">
        <v>3838</v>
      </c>
      <c r="C498" s="915" t="str">
        <f t="shared" si="7"/>
        <v>11월</v>
      </c>
      <c r="D498" s="916" t="s">
        <v>4206</v>
      </c>
      <c r="E498" s="916"/>
      <c r="F498" s="916" t="s">
        <v>4154</v>
      </c>
      <c r="G498" s="915"/>
      <c r="H498" s="917">
        <v>421800</v>
      </c>
      <c r="I498" s="918"/>
      <c r="J498" s="918"/>
    </row>
    <row r="499" spans="1:10">
      <c r="A499" t="s">
        <v>4220</v>
      </c>
      <c r="B499" s="915" t="s">
        <v>3838</v>
      </c>
      <c r="C499" s="915" t="str">
        <f t="shared" si="7"/>
        <v>11월</v>
      </c>
      <c r="D499" s="916" t="s">
        <v>4155</v>
      </c>
      <c r="E499" s="916" t="s">
        <v>4171</v>
      </c>
      <c r="F499" s="916" t="s">
        <v>4172</v>
      </c>
      <c r="G499" s="915" t="s">
        <v>4173</v>
      </c>
      <c r="H499" s="917">
        <v>85030</v>
      </c>
      <c r="I499" s="918"/>
      <c r="J499" s="918"/>
    </row>
    <row r="500" spans="1:10">
      <c r="A500" t="s">
        <v>4220</v>
      </c>
      <c r="B500" s="915" t="s">
        <v>3838</v>
      </c>
      <c r="C500" s="915" t="str">
        <f t="shared" si="7"/>
        <v>11월</v>
      </c>
      <c r="D500" s="916" t="s">
        <v>4157</v>
      </c>
      <c r="E500" s="916"/>
      <c r="F500" s="916" t="s">
        <v>4156</v>
      </c>
      <c r="G500" s="915"/>
      <c r="H500" s="917">
        <v>121090</v>
      </c>
      <c r="I500" s="918"/>
      <c r="J500" s="918"/>
    </row>
    <row r="501" spans="1:10">
      <c r="A501" t="s">
        <v>4220</v>
      </c>
      <c r="B501" s="915" t="s">
        <v>3838</v>
      </c>
      <c r="C501" s="915" t="str">
        <f t="shared" si="7"/>
        <v>11월</v>
      </c>
      <c r="D501" s="916" t="s">
        <v>4158</v>
      </c>
      <c r="E501" s="916" t="s">
        <v>4171</v>
      </c>
      <c r="F501" s="916" t="s">
        <v>4172</v>
      </c>
      <c r="G501" s="915" t="s">
        <v>4173</v>
      </c>
      <c r="H501" s="917">
        <v>185900</v>
      </c>
      <c r="I501" s="918"/>
      <c r="J501" s="917">
        <v>8554350</v>
      </c>
    </row>
    <row r="502" spans="1:10">
      <c r="A502" t="s">
        <v>4220</v>
      </c>
      <c r="B502" s="915" t="s">
        <v>3841</v>
      </c>
      <c r="C502" s="915" t="str">
        <f t="shared" si="7"/>
        <v>11월</v>
      </c>
      <c r="D502" s="916" t="s">
        <v>4212</v>
      </c>
      <c r="E502" s="916" t="s">
        <v>4202</v>
      </c>
      <c r="F502" s="916" t="s">
        <v>4203</v>
      </c>
      <c r="G502" s="915" t="s">
        <v>4204</v>
      </c>
      <c r="H502" s="917">
        <v>-84360</v>
      </c>
      <c r="I502" s="918"/>
      <c r="J502" s="918"/>
    </row>
    <row r="503" spans="1:10">
      <c r="A503" t="s">
        <v>4220</v>
      </c>
      <c r="B503" s="915" t="s">
        <v>3841</v>
      </c>
      <c r="C503" s="915" t="str">
        <f t="shared" si="7"/>
        <v>11월</v>
      </c>
      <c r="D503" s="916" t="s">
        <v>4213</v>
      </c>
      <c r="E503" s="916" t="s">
        <v>4197</v>
      </c>
      <c r="F503" s="916" t="s">
        <v>4198</v>
      </c>
      <c r="G503" s="915" t="s">
        <v>4199</v>
      </c>
      <c r="H503" s="917">
        <v>-84360</v>
      </c>
      <c r="I503" s="918"/>
      <c r="J503" s="918"/>
    </row>
    <row r="504" spans="1:10">
      <c r="A504" t="s">
        <v>4220</v>
      </c>
      <c r="B504" s="915" t="s">
        <v>3841</v>
      </c>
      <c r="C504" s="915" t="str">
        <f t="shared" si="7"/>
        <v>11월</v>
      </c>
      <c r="D504" s="916" t="s">
        <v>4214</v>
      </c>
      <c r="E504" s="916" t="s">
        <v>4160</v>
      </c>
      <c r="F504" s="916" t="s">
        <v>4161</v>
      </c>
      <c r="G504" s="915" t="s">
        <v>4162</v>
      </c>
      <c r="H504" s="917">
        <v>-84360</v>
      </c>
      <c r="I504" s="918"/>
      <c r="J504" s="917">
        <v>8301270</v>
      </c>
    </row>
    <row r="505" spans="1:10">
      <c r="A505" t="s">
        <v>4220</v>
      </c>
      <c r="B505" s="915" t="s">
        <v>4215</v>
      </c>
      <c r="C505" s="915" t="str">
        <f t="shared" si="7"/>
        <v>12월</v>
      </c>
      <c r="D505" s="916" t="s">
        <v>4149</v>
      </c>
      <c r="E505" s="916" t="s">
        <v>4150</v>
      </c>
      <c r="F505" s="916" t="s">
        <v>4216</v>
      </c>
      <c r="G505" s="915" t="s">
        <v>4152</v>
      </c>
      <c r="H505" s="917">
        <v>176620</v>
      </c>
      <c r="I505" s="918"/>
      <c r="J505" s="918"/>
    </row>
    <row r="506" spans="1:10">
      <c r="A506" t="s">
        <v>4220</v>
      </c>
      <c r="B506" s="915" t="s">
        <v>4215</v>
      </c>
      <c r="C506" s="915" t="str">
        <f t="shared" si="7"/>
        <v>12월</v>
      </c>
      <c r="D506" s="916" t="s">
        <v>4149</v>
      </c>
      <c r="E506" s="916" t="s">
        <v>4150</v>
      </c>
      <c r="F506" s="916" t="s">
        <v>4217</v>
      </c>
      <c r="G506" s="915" t="s">
        <v>4152</v>
      </c>
      <c r="H506" s="917">
        <v>97910</v>
      </c>
      <c r="I506" s="918"/>
      <c r="J506" s="918"/>
    </row>
    <row r="507" spans="1:10">
      <c r="A507" t="s">
        <v>4220</v>
      </c>
      <c r="B507" s="915" t="s">
        <v>4215</v>
      </c>
      <c r="C507" s="915" t="str">
        <f t="shared" si="7"/>
        <v>12월</v>
      </c>
      <c r="D507" s="916" t="s">
        <v>4149</v>
      </c>
      <c r="E507" s="916" t="s">
        <v>4150</v>
      </c>
      <c r="F507" s="916" t="s">
        <v>4218</v>
      </c>
      <c r="G507" s="915" t="s">
        <v>4152</v>
      </c>
      <c r="H507" s="917">
        <v>123830</v>
      </c>
      <c r="I507" s="918"/>
      <c r="J507" s="917">
        <v>8699630</v>
      </c>
    </row>
    <row r="508" spans="1:10">
      <c r="A508" t="s">
        <v>4220</v>
      </c>
      <c r="B508" s="915" t="s">
        <v>4219</v>
      </c>
      <c r="C508" s="915" t="str">
        <f t="shared" si="7"/>
        <v>12월</v>
      </c>
      <c r="D508" s="916" t="s">
        <v>4157</v>
      </c>
      <c r="E508" s="916"/>
      <c r="F508" s="916" t="s">
        <v>4156</v>
      </c>
      <c r="G508" s="915"/>
      <c r="H508" s="917">
        <v>179340</v>
      </c>
      <c r="I508" s="918"/>
      <c r="J508" s="918"/>
    </row>
    <row r="509" spans="1:10">
      <c r="A509" t="s">
        <v>4220</v>
      </c>
      <c r="B509" s="915" t="s">
        <v>4219</v>
      </c>
      <c r="C509" s="915" t="str">
        <f t="shared" si="7"/>
        <v>12월</v>
      </c>
      <c r="D509" s="916" t="s">
        <v>4158</v>
      </c>
      <c r="E509" s="916" t="s">
        <v>4171</v>
      </c>
      <c r="F509" s="916" t="s">
        <v>4172</v>
      </c>
      <c r="G509" s="915" t="s">
        <v>4173</v>
      </c>
      <c r="H509" s="917">
        <v>231030</v>
      </c>
      <c r="I509" s="918"/>
      <c r="J509" s="918"/>
    </row>
    <row r="510" spans="1:10">
      <c r="A510" t="s">
        <v>4220</v>
      </c>
      <c r="B510" s="915" t="s">
        <v>4219</v>
      </c>
      <c r="C510" s="915" t="str">
        <f t="shared" si="7"/>
        <v>12월</v>
      </c>
      <c r="D510" s="916" t="s">
        <v>4155</v>
      </c>
      <c r="E510" s="916" t="s">
        <v>4171</v>
      </c>
      <c r="F510" s="916" t="s">
        <v>4172</v>
      </c>
      <c r="G510" s="915" t="s">
        <v>4173</v>
      </c>
      <c r="H510" s="917">
        <v>97020</v>
      </c>
      <c r="I510" s="918"/>
      <c r="J510" s="917">
        <v>9207020</v>
      </c>
    </row>
    <row r="511" spans="1:10">
      <c r="A511" t="s">
        <v>4292</v>
      </c>
      <c r="B511" s="915" t="s">
        <v>4129</v>
      </c>
      <c r="C511" s="915" t="str">
        <f t="shared" si="7"/>
        <v>1월</v>
      </c>
      <c r="D511" s="916" t="s">
        <v>4221</v>
      </c>
      <c r="E511" s="916"/>
      <c r="F511" s="916" t="s">
        <v>4222</v>
      </c>
      <c r="G511" s="915"/>
      <c r="H511" s="917">
        <v>109370</v>
      </c>
      <c r="I511" s="918"/>
      <c r="J511" s="917">
        <v>109370</v>
      </c>
    </row>
    <row r="512" spans="1:10">
      <c r="A512" t="s">
        <v>4292</v>
      </c>
      <c r="B512" s="915" t="s">
        <v>3872</v>
      </c>
      <c r="C512" s="915" t="str">
        <f t="shared" si="7"/>
        <v>1월</v>
      </c>
      <c r="D512" s="916" t="s">
        <v>4223</v>
      </c>
      <c r="E512" s="916" t="s">
        <v>4224</v>
      </c>
      <c r="F512" s="916" t="s">
        <v>4225</v>
      </c>
      <c r="G512" s="915" t="s">
        <v>4226</v>
      </c>
      <c r="H512" s="917">
        <v>50600</v>
      </c>
      <c r="I512" s="918"/>
      <c r="J512" s="918"/>
    </row>
    <row r="513" spans="1:10" ht="22.5">
      <c r="A513" t="s">
        <v>4292</v>
      </c>
      <c r="B513" s="915" t="s">
        <v>3872</v>
      </c>
      <c r="C513" s="915" t="str">
        <f t="shared" si="7"/>
        <v>1월</v>
      </c>
      <c r="D513" s="916" t="s">
        <v>4227</v>
      </c>
      <c r="E513" s="916"/>
      <c r="F513" s="916" t="s">
        <v>4228</v>
      </c>
      <c r="G513" s="915"/>
      <c r="H513" s="917">
        <v>212340</v>
      </c>
      <c r="I513" s="918"/>
      <c r="J513" s="917">
        <v>372310</v>
      </c>
    </row>
    <row r="514" spans="1:10">
      <c r="A514" t="s">
        <v>4292</v>
      </c>
      <c r="B514" s="915" t="s">
        <v>3645</v>
      </c>
      <c r="C514" s="915" t="str">
        <f t="shared" si="7"/>
        <v>1월</v>
      </c>
      <c r="D514" s="916" t="s">
        <v>4229</v>
      </c>
      <c r="E514" s="916"/>
      <c r="F514" s="916" t="s">
        <v>4230</v>
      </c>
      <c r="G514" s="915"/>
      <c r="H514" s="917">
        <v>14150</v>
      </c>
      <c r="I514" s="918"/>
      <c r="J514" s="917">
        <v>386460</v>
      </c>
    </row>
    <row r="515" spans="1:10">
      <c r="A515" t="s">
        <v>4292</v>
      </c>
      <c r="B515" s="915" t="s">
        <v>4167</v>
      </c>
      <c r="C515" s="915" t="str">
        <f t="shared" ref="C515:C578" si="8">MONTH(B515)&amp;"월"</f>
        <v>2월</v>
      </c>
      <c r="D515" s="916" t="s">
        <v>4231</v>
      </c>
      <c r="E515" s="916"/>
      <c r="F515" s="916"/>
      <c r="G515" s="915"/>
      <c r="H515" s="917">
        <v>-281240</v>
      </c>
      <c r="I515" s="918"/>
      <c r="J515" s="917">
        <v>105220</v>
      </c>
    </row>
    <row r="516" spans="1:10">
      <c r="A516" t="s">
        <v>4292</v>
      </c>
      <c r="B516" s="915" t="s">
        <v>3685</v>
      </c>
      <c r="C516" s="915" t="str">
        <f t="shared" si="8"/>
        <v>2월</v>
      </c>
      <c r="D516" s="916" t="s">
        <v>4232</v>
      </c>
      <c r="E516" s="916" t="s">
        <v>4233</v>
      </c>
      <c r="F516" s="916" t="s">
        <v>4234</v>
      </c>
      <c r="G516" s="915" t="s">
        <v>4235</v>
      </c>
      <c r="H516" s="917">
        <v>100870</v>
      </c>
      <c r="I516" s="918"/>
      <c r="J516" s="917">
        <v>206090</v>
      </c>
    </row>
    <row r="517" spans="1:10">
      <c r="A517" t="s">
        <v>4292</v>
      </c>
      <c r="B517" s="915" t="s">
        <v>4236</v>
      </c>
      <c r="C517" s="915" t="str">
        <f t="shared" si="8"/>
        <v>2월</v>
      </c>
      <c r="D517" s="916" t="s">
        <v>4223</v>
      </c>
      <c r="E517" s="916" t="s">
        <v>4224</v>
      </c>
      <c r="F517" s="916" t="s">
        <v>4225</v>
      </c>
      <c r="G517" s="915" t="s">
        <v>4226</v>
      </c>
      <c r="H517" s="917">
        <v>31460</v>
      </c>
      <c r="I517" s="918"/>
      <c r="J517" s="917">
        <v>237550</v>
      </c>
    </row>
    <row r="518" spans="1:10">
      <c r="A518" t="s">
        <v>4292</v>
      </c>
      <c r="B518" s="915" t="s">
        <v>3875</v>
      </c>
      <c r="C518" s="915" t="str">
        <f t="shared" si="8"/>
        <v>2월</v>
      </c>
      <c r="D518" s="916" t="s">
        <v>4237</v>
      </c>
      <c r="E518" s="916"/>
      <c r="F518" s="916" t="s">
        <v>4238</v>
      </c>
      <c r="G518" s="915"/>
      <c r="H518" s="917">
        <v>180370</v>
      </c>
      <c r="I518" s="918"/>
      <c r="J518" s="917">
        <v>417920</v>
      </c>
    </row>
    <row r="519" spans="1:10">
      <c r="A519" t="s">
        <v>4292</v>
      </c>
      <c r="B519" s="915" t="s">
        <v>3687</v>
      </c>
      <c r="C519" s="915" t="str">
        <f t="shared" si="8"/>
        <v>2월</v>
      </c>
      <c r="D519" s="916" t="s">
        <v>4229</v>
      </c>
      <c r="E519" s="916"/>
      <c r="F519" s="916" t="s">
        <v>4230</v>
      </c>
      <c r="G519" s="915"/>
      <c r="H519" s="917">
        <v>14150</v>
      </c>
      <c r="I519" s="918"/>
      <c r="J519" s="917">
        <v>432070</v>
      </c>
    </row>
    <row r="520" spans="1:10">
      <c r="A520" t="s">
        <v>4292</v>
      </c>
      <c r="B520" s="915" t="s">
        <v>3698</v>
      </c>
      <c r="C520" s="915" t="str">
        <f t="shared" si="8"/>
        <v>3월</v>
      </c>
      <c r="D520" s="916" t="s">
        <v>4239</v>
      </c>
      <c r="E520" s="916"/>
      <c r="F520" s="916"/>
      <c r="G520" s="915"/>
      <c r="H520" s="917">
        <v>-114500</v>
      </c>
      <c r="I520" s="918"/>
      <c r="J520" s="917">
        <v>317570</v>
      </c>
    </row>
    <row r="521" spans="1:10">
      <c r="A521" t="s">
        <v>4292</v>
      </c>
      <c r="B521" s="915" t="s">
        <v>4137</v>
      </c>
      <c r="C521" s="915" t="str">
        <f t="shared" si="8"/>
        <v>3월</v>
      </c>
      <c r="D521" s="916" t="s">
        <v>4240</v>
      </c>
      <c r="E521" s="916"/>
      <c r="F521" s="916"/>
      <c r="G521" s="915"/>
      <c r="H521" s="917">
        <v>-172760</v>
      </c>
      <c r="I521" s="918"/>
      <c r="J521" s="918"/>
    </row>
    <row r="522" spans="1:10">
      <c r="A522" t="s">
        <v>4292</v>
      </c>
      <c r="B522" s="915" t="s">
        <v>4137</v>
      </c>
      <c r="C522" s="915" t="str">
        <f t="shared" si="8"/>
        <v>3월</v>
      </c>
      <c r="D522" s="916" t="s">
        <v>4241</v>
      </c>
      <c r="E522" s="916"/>
      <c r="F522" s="916" t="s">
        <v>4222</v>
      </c>
      <c r="G522" s="915"/>
      <c r="H522" s="917">
        <v>114500</v>
      </c>
      <c r="I522" s="918"/>
      <c r="J522" s="917">
        <v>259310</v>
      </c>
    </row>
    <row r="523" spans="1:10">
      <c r="A523" t="s">
        <v>4292</v>
      </c>
      <c r="B523" s="915" t="s">
        <v>3878</v>
      </c>
      <c r="C523" s="915" t="str">
        <f t="shared" si="8"/>
        <v>3월</v>
      </c>
      <c r="D523" s="916" t="s">
        <v>4242</v>
      </c>
      <c r="E523" s="916" t="s">
        <v>4233</v>
      </c>
      <c r="F523" s="916" t="s">
        <v>4234</v>
      </c>
      <c r="G523" s="915" t="s">
        <v>4235</v>
      </c>
      <c r="H523" s="917">
        <v>172760</v>
      </c>
      <c r="I523" s="918"/>
      <c r="J523" s="917">
        <v>432070</v>
      </c>
    </row>
    <row r="524" spans="1:10">
      <c r="A524" t="s">
        <v>4292</v>
      </c>
      <c r="B524" s="915" t="s">
        <v>3706</v>
      </c>
      <c r="C524" s="915" t="str">
        <f t="shared" si="8"/>
        <v>3월</v>
      </c>
      <c r="D524" s="916" t="s">
        <v>4229</v>
      </c>
      <c r="E524" s="916"/>
      <c r="F524" s="916" t="s">
        <v>4230</v>
      </c>
      <c r="G524" s="915"/>
      <c r="H524" s="917">
        <v>14150</v>
      </c>
      <c r="I524" s="918"/>
      <c r="J524" s="917">
        <v>446220</v>
      </c>
    </row>
    <row r="525" spans="1:10">
      <c r="A525" t="s">
        <v>4292</v>
      </c>
      <c r="B525" s="915" t="s">
        <v>3722</v>
      </c>
      <c r="C525" s="915" t="str">
        <f t="shared" si="8"/>
        <v>4월</v>
      </c>
      <c r="D525" s="916" t="s">
        <v>4243</v>
      </c>
      <c r="E525" s="916"/>
      <c r="F525" s="916"/>
      <c r="G525" s="915"/>
      <c r="H525" s="917">
        <v>-14150</v>
      </c>
      <c r="I525" s="918"/>
      <c r="J525" s="918"/>
    </row>
    <row r="526" spans="1:10">
      <c r="A526" t="s">
        <v>4292</v>
      </c>
      <c r="B526" s="915" t="s">
        <v>3722</v>
      </c>
      <c r="C526" s="915" t="str">
        <f t="shared" si="8"/>
        <v>4월</v>
      </c>
      <c r="D526" s="916" t="s">
        <v>4244</v>
      </c>
      <c r="E526" s="916"/>
      <c r="F526" s="916"/>
      <c r="G526" s="915"/>
      <c r="H526" s="917">
        <v>-158150</v>
      </c>
      <c r="I526" s="918"/>
      <c r="J526" s="918"/>
    </row>
    <row r="527" spans="1:10">
      <c r="A527" t="s">
        <v>4292</v>
      </c>
      <c r="B527" s="915" t="s">
        <v>3722</v>
      </c>
      <c r="C527" s="915" t="str">
        <f t="shared" si="8"/>
        <v>4월</v>
      </c>
      <c r="D527" s="916" t="s">
        <v>4245</v>
      </c>
      <c r="E527" s="916"/>
      <c r="F527" s="916"/>
      <c r="G527" s="915"/>
      <c r="H527" s="917">
        <v>-177920</v>
      </c>
      <c r="I527" s="918"/>
      <c r="J527" s="918"/>
    </row>
    <row r="528" spans="1:10">
      <c r="A528" t="s">
        <v>4292</v>
      </c>
      <c r="B528" s="915" t="s">
        <v>3722</v>
      </c>
      <c r="C528" s="915" t="str">
        <f t="shared" si="8"/>
        <v>4월</v>
      </c>
      <c r="D528" s="916" t="s">
        <v>4246</v>
      </c>
      <c r="E528" s="916"/>
      <c r="F528" s="916" t="s">
        <v>4222</v>
      </c>
      <c r="G528" s="915"/>
      <c r="H528" s="917">
        <v>158150</v>
      </c>
      <c r="I528" s="918"/>
      <c r="J528" s="917">
        <v>254150</v>
      </c>
    </row>
    <row r="529" spans="1:10">
      <c r="A529" t="s">
        <v>4292</v>
      </c>
      <c r="B529" s="915" t="s">
        <v>3881</v>
      </c>
      <c r="C529" s="915" t="str">
        <f t="shared" si="8"/>
        <v>4월</v>
      </c>
      <c r="D529" s="916" t="s">
        <v>4247</v>
      </c>
      <c r="E529" s="916" t="s">
        <v>4233</v>
      </c>
      <c r="F529" s="916" t="s">
        <v>4234</v>
      </c>
      <c r="G529" s="915" t="s">
        <v>4235</v>
      </c>
      <c r="H529" s="917">
        <v>177920</v>
      </c>
      <c r="I529" s="918"/>
      <c r="J529" s="917">
        <v>432070</v>
      </c>
    </row>
    <row r="530" spans="1:10">
      <c r="A530" t="s">
        <v>4292</v>
      </c>
      <c r="B530" s="915" t="s">
        <v>3725</v>
      </c>
      <c r="C530" s="915" t="str">
        <f t="shared" si="8"/>
        <v>4월</v>
      </c>
      <c r="D530" s="916" t="s">
        <v>4248</v>
      </c>
      <c r="E530" s="916"/>
      <c r="F530" s="916" t="s">
        <v>4230</v>
      </c>
      <c r="G530" s="915"/>
      <c r="H530" s="917">
        <v>14150</v>
      </c>
      <c r="I530" s="918"/>
      <c r="J530" s="917">
        <v>446220</v>
      </c>
    </row>
    <row r="531" spans="1:10">
      <c r="A531" t="s">
        <v>4292</v>
      </c>
      <c r="B531" s="915" t="s">
        <v>4139</v>
      </c>
      <c r="C531" s="915" t="str">
        <f t="shared" si="8"/>
        <v>5월</v>
      </c>
      <c r="D531" s="916" t="s">
        <v>4249</v>
      </c>
      <c r="E531" s="916"/>
      <c r="F531" s="916" t="s">
        <v>4222</v>
      </c>
      <c r="G531" s="915"/>
      <c r="H531" s="917">
        <v>162890</v>
      </c>
      <c r="I531" s="918"/>
      <c r="J531" s="917">
        <v>609110</v>
      </c>
    </row>
    <row r="532" spans="1:10">
      <c r="A532" t="s">
        <v>4292</v>
      </c>
      <c r="B532" s="915" t="s">
        <v>4186</v>
      </c>
      <c r="C532" s="915" t="str">
        <f t="shared" si="8"/>
        <v>5월</v>
      </c>
      <c r="D532" s="916" t="s">
        <v>4250</v>
      </c>
      <c r="E532" s="916"/>
      <c r="F532" s="916"/>
      <c r="G532" s="915"/>
      <c r="H532" s="917">
        <v>-162890</v>
      </c>
      <c r="I532" s="918"/>
      <c r="J532" s="918"/>
    </row>
    <row r="533" spans="1:10">
      <c r="A533" t="s">
        <v>4292</v>
      </c>
      <c r="B533" s="915" t="s">
        <v>4186</v>
      </c>
      <c r="C533" s="915" t="str">
        <f t="shared" si="8"/>
        <v>5월</v>
      </c>
      <c r="D533" s="916" t="s">
        <v>4251</v>
      </c>
      <c r="E533" s="916"/>
      <c r="F533" s="916"/>
      <c r="G533" s="915"/>
      <c r="H533" s="917">
        <v>-182600</v>
      </c>
      <c r="I533" s="918"/>
      <c r="J533" s="917">
        <v>263620</v>
      </c>
    </row>
    <row r="534" spans="1:10">
      <c r="A534" t="s">
        <v>4292</v>
      </c>
      <c r="B534" s="915" t="s">
        <v>3884</v>
      </c>
      <c r="C534" s="915" t="str">
        <f t="shared" si="8"/>
        <v>5월</v>
      </c>
      <c r="D534" s="916" t="s">
        <v>4252</v>
      </c>
      <c r="E534" s="916" t="s">
        <v>4233</v>
      </c>
      <c r="F534" s="916" t="s">
        <v>4234</v>
      </c>
      <c r="G534" s="915" t="s">
        <v>4235</v>
      </c>
      <c r="H534" s="917">
        <v>182600</v>
      </c>
      <c r="I534" s="918"/>
      <c r="J534" s="917">
        <v>446220</v>
      </c>
    </row>
    <row r="535" spans="1:10">
      <c r="A535" t="s">
        <v>4292</v>
      </c>
      <c r="B535" s="915" t="s">
        <v>4253</v>
      </c>
      <c r="C535" s="915" t="str">
        <f t="shared" si="8"/>
        <v>5월</v>
      </c>
      <c r="D535" s="916" t="s">
        <v>4229</v>
      </c>
      <c r="E535" s="916"/>
      <c r="F535" s="916" t="s">
        <v>4230</v>
      </c>
      <c r="G535" s="915"/>
      <c r="H535" s="917">
        <v>14150</v>
      </c>
      <c r="I535" s="918"/>
      <c r="J535" s="917">
        <v>460370</v>
      </c>
    </row>
    <row r="536" spans="1:10">
      <c r="A536" t="s">
        <v>4292</v>
      </c>
      <c r="B536" s="915" t="s">
        <v>3747</v>
      </c>
      <c r="C536" s="915" t="str">
        <f t="shared" si="8"/>
        <v>5월</v>
      </c>
      <c r="D536" s="916" t="s">
        <v>4254</v>
      </c>
      <c r="E536" s="916"/>
      <c r="F536" s="916"/>
      <c r="G536" s="915"/>
      <c r="H536" s="917">
        <v>-14150</v>
      </c>
      <c r="I536" s="918"/>
      <c r="J536" s="917">
        <v>446220</v>
      </c>
    </row>
    <row r="537" spans="1:10">
      <c r="A537" t="s">
        <v>4292</v>
      </c>
      <c r="B537" s="915" t="s">
        <v>4190</v>
      </c>
      <c r="C537" s="915" t="str">
        <f t="shared" si="8"/>
        <v>6월</v>
      </c>
      <c r="D537" s="916" t="s">
        <v>4255</v>
      </c>
      <c r="E537" s="916" t="s">
        <v>4256</v>
      </c>
      <c r="F537" s="916" t="s">
        <v>4257</v>
      </c>
      <c r="G537" s="915"/>
      <c r="H537" s="917">
        <v>132010</v>
      </c>
      <c r="I537" s="918"/>
      <c r="J537" s="917">
        <v>578230</v>
      </c>
    </row>
    <row r="538" spans="1:10">
      <c r="A538" t="s">
        <v>4292</v>
      </c>
      <c r="B538" s="915" t="s">
        <v>4035</v>
      </c>
      <c r="C538" s="915" t="str">
        <f t="shared" si="8"/>
        <v>6월</v>
      </c>
      <c r="D538" s="916" t="s">
        <v>4258</v>
      </c>
      <c r="E538" s="916"/>
      <c r="F538" s="916"/>
      <c r="G538" s="915"/>
      <c r="H538" s="917">
        <v>-192460</v>
      </c>
      <c r="I538" s="918"/>
      <c r="J538" s="918"/>
    </row>
    <row r="539" spans="1:10">
      <c r="A539" t="s">
        <v>4292</v>
      </c>
      <c r="B539" s="915" t="s">
        <v>4035</v>
      </c>
      <c r="C539" s="915" t="str">
        <f t="shared" si="8"/>
        <v>6월</v>
      </c>
      <c r="D539" s="916" t="s">
        <v>4259</v>
      </c>
      <c r="E539" s="916"/>
      <c r="F539" s="916"/>
      <c r="G539" s="915"/>
      <c r="H539" s="917">
        <v>-14150</v>
      </c>
      <c r="I539" s="918"/>
      <c r="J539" s="917">
        <v>371620</v>
      </c>
    </row>
    <row r="540" spans="1:10">
      <c r="A540" t="s">
        <v>4292</v>
      </c>
      <c r="B540" s="915" t="s">
        <v>3608</v>
      </c>
      <c r="C540" s="915" t="str">
        <f t="shared" si="8"/>
        <v>6월</v>
      </c>
      <c r="D540" s="916" t="s">
        <v>4260</v>
      </c>
      <c r="E540" s="916"/>
      <c r="F540" s="916"/>
      <c r="G540" s="915"/>
      <c r="H540" s="917">
        <v>-132010</v>
      </c>
      <c r="I540" s="918"/>
      <c r="J540" s="917">
        <v>239610</v>
      </c>
    </row>
    <row r="541" spans="1:10">
      <c r="A541" t="s">
        <v>4292</v>
      </c>
      <c r="B541" s="915" t="s">
        <v>4140</v>
      </c>
      <c r="C541" s="915" t="str">
        <f t="shared" si="8"/>
        <v>6월</v>
      </c>
      <c r="D541" s="916" t="s">
        <v>4229</v>
      </c>
      <c r="E541" s="916"/>
      <c r="F541" s="916" t="s">
        <v>4230</v>
      </c>
      <c r="G541" s="915"/>
      <c r="H541" s="917">
        <v>14150</v>
      </c>
      <c r="I541" s="918"/>
      <c r="J541" s="918"/>
    </row>
    <row r="542" spans="1:10">
      <c r="A542" t="s">
        <v>4292</v>
      </c>
      <c r="B542" s="915" t="s">
        <v>4140</v>
      </c>
      <c r="C542" s="915" t="str">
        <f t="shared" si="8"/>
        <v>6월</v>
      </c>
      <c r="D542" s="916" t="s">
        <v>4261</v>
      </c>
      <c r="E542" s="916" t="s">
        <v>4233</v>
      </c>
      <c r="F542" s="916" t="s">
        <v>4234</v>
      </c>
      <c r="G542" s="915" t="s">
        <v>4235</v>
      </c>
      <c r="H542" s="917">
        <v>192460</v>
      </c>
      <c r="I542" s="918"/>
      <c r="J542" s="917">
        <v>446220</v>
      </c>
    </row>
    <row r="543" spans="1:10">
      <c r="A543" t="s">
        <v>4292</v>
      </c>
      <c r="B543" s="915" t="s">
        <v>3771</v>
      </c>
      <c r="C543" s="915" t="str">
        <f t="shared" si="8"/>
        <v>7월</v>
      </c>
      <c r="D543" s="916" t="s">
        <v>4262</v>
      </c>
      <c r="E543" s="916"/>
      <c r="F543" s="916"/>
      <c r="G543" s="915"/>
      <c r="H543" s="917">
        <v>-182470</v>
      </c>
      <c r="I543" s="918"/>
      <c r="J543" s="918"/>
    </row>
    <row r="544" spans="1:10">
      <c r="A544" t="s">
        <v>4292</v>
      </c>
      <c r="B544" s="915" t="s">
        <v>3771</v>
      </c>
      <c r="C544" s="915" t="str">
        <f t="shared" si="8"/>
        <v>7월</v>
      </c>
      <c r="D544" s="916" t="s">
        <v>4263</v>
      </c>
      <c r="E544" s="916"/>
      <c r="F544" s="916"/>
      <c r="G544" s="915"/>
      <c r="H544" s="917">
        <v>-14150</v>
      </c>
      <c r="I544" s="918"/>
      <c r="J544" s="917">
        <v>249600</v>
      </c>
    </row>
    <row r="545" spans="1:10">
      <c r="A545" t="s">
        <v>4292</v>
      </c>
      <c r="B545" s="915" t="s">
        <v>4141</v>
      </c>
      <c r="C545" s="915" t="str">
        <f t="shared" si="8"/>
        <v>7월</v>
      </c>
      <c r="D545" s="916" t="s">
        <v>4264</v>
      </c>
      <c r="E545" s="916"/>
      <c r="F545" s="916" t="s">
        <v>4265</v>
      </c>
      <c r="G545" s="915"/>
      <c r="H545" s="917">
        <v>111410</v>
      </c>
      <c r="I545" s="918"/>
      <c r="J545" s="917">
        <v>361010</v>
      </c>
    </row>
    <row r="546" spans="1:10">
      <c r="A546" t="s">
        <v>4292</v>
      </c>
      <c r="B546" s="915" t="s">
        <v>4266</v>
      </c>
      <c r="C546" s="915" t="str">
        <f t="shared" si="8"/>
        <v>7월</v>
      </c>
      <c r="D546" s="916" t="s">
        <v>4267</v>
      </c>
      <c r="E546" s="916"/>
      <c r="F546" s="916"/>
      <c r="G546" s="915"/>
      <c r="H546" s="917">
        <v>-111410</v>
      </c>
      <c r="I546" s="918"/>
      <c r="J546" s="917">
        <v>249600</v>
      </c>
    </row>
    <row r="547" spans="1:10">
      <c r="A547" t="s">
        <v>4292</v>
      </c>
      <c r="B547" s="915" t="s">
        <v>3889</v>
      </c>
      <c r="C547" s="915" t="str">
        <f t="shared" si="8"/>
        <v>7월</v>
      </c>
      <c r="D547" s="916" t="s">
        <v>4268</v>
      </c>
      <c r="E547" s="916" t="s">
        <v>4233</v>
      </c>
      <c r="F547" s="916" t="s">
        <v>4234</v>
      </c>
      <c r="G547" s="915" t="s">
        <v>4235</v>
      </c>
      <c r="H547" s="917">
        <v>182470</v>
      </c>
      <c r="I547" s="918"/>
      <c r="J547" s="917">
        <v>432070</v>
      </c>
    </row>
    <row r="548" spans="1:10">
      <c r="A548" t="s">
        <v>4292</v>
      </c>
      <c r="B548" s="915" t="s">
        <v>3326</v>
      </c>
      <c r="C548" s="915" t="str">
        <f t="shared" si="8"/>
        <v>7월</v>
      </c>
      <c r="D548" s="916" t="s">
        <v>4229</v>
      </c>
      <c r="E548" s="916"/>
      <c r="F548" s="916" t="s">
        <v>4230</v>
      </c>
      <c r="G548" s="915"/>
      <c r="H548" s="917">
        <v>14150</v>
      </c>
      <c r="I548" s="918"/>
      <c r="J548" s="917">
        <v>446220</v>
      </c>
    </row>
    <row r="549" spans="1:10">
      <c r="A549" t="s">
        <v>4292</v>
      </c>
      <c r="B549" s="915" t="s">
        <v>4269</v>
      </c>
      <c r="C549" s="915" t="str">
        <f t="shared" si="8"/>
        <v>8월</v>
      </c>
      <c r="D549" s="916" t="s">
        <v>4270</v>
      </c>
      <c r="E549" s="916"/>
      <c r="F549" s="916"/>
      <c r="G549" s="915"/>
      <c r="H549" s="917">
        <v>-14150</v>
      </c>
      <c r="I549" s="918"/>
      <c r="J549" s="917">
        <v>432070</v>
      </c>
    </row>
    <row r="550" spans="1:10">
      <c r="A550" t="s">
        <v>4292</v>
      </c>
      <c r="B550" s="915" t="s">
        <v>4142</v>
      </c>
      <c r="C550" s="915" t="str">
        <f t="shared" si="8"/>
        <v>8월</v>
      </c>
      <c r="D550" s="916" t="s">
        <v>4271</v>
      </c>
      <c r="E550" s="916"/>
      <c r="F550" s="916"/>
      <c r="G550" s="915"/>
      <c r="H550" s="917">
        <v>-170200</v>
      </c>
      <c r="I550" s="918"/>
      <c r="J550" s="918"/>
    </row>
    <row r="551" spans="1:10">
      <c r="A551" t="s">
        <v>4292</v>
      </c>
      <c r="B551" s="915" t="s">
        <v>4142</v>
      </c>
      <c r="C551" s="915" t="str">
        <f t="shared" si="8"/>
        <v>8월</v>
      </c>
      <c r="D551" s="916" t="s">
        <v>4272</v>
      </c>
      <c r="E551" s="916"/>
      <c r="F551" s="916" t="s">
        <v>4222</v>
      </c>
      <c r="G551" s="915"/>
      <c r="H551" s="917">
        <v>181540</v>
      </c>
      <c r="I551" s="918"/>
      <c r="J551" s="917">
        <v>443410</v>
      </c>
    </row>
    <row r="552" spans="1:10">
      <c r="A552" t="s">
        <v>4292</v>
      </c>
      <c r="B552" s="915" t="s">
        <v>3892</v>
      </c>
      <c r="C552" s="915" t="str">
        <f t="shared" si="8"/>
        <v>8월</v>
      </c>
      <c r="D552" s="916" t="s">
        <v>4273</v>
      </c>
      <c r="E552" s="916" t="s">
        <v>4233</v>
      </c>
      <c r="F552" s="916" t="s">
        <v>4234</v>
      </c>
      <c r="G552" s="915" t="s">
        <v>4235</v>
      </c>
      <c r="H552" s="917">
        <v>170200</v>
      </c>
      <c r="I552" s="918"/>
      <c r="J552" s="917">
        <v>613610</v>
      </c>
    </row>
    <row r="553" spans="1:10">
      <c r="A553" t="s">
        <v>4292</v>
      </c>
      <c r="B553" s="915" t="s">
        <v>4274</v>
      </c>
      <c r="C553" s="915" t="str">
        <f t="shared" si="8"/>
        <v>8월</v>
      </c>
      <c r="D553" s="916" t="s">
        <v>4229</v>
      </c>
      <c r="E553" s="916"/>
      <c r="F553" s="916" t="s">
        <v>4230</v>
      </c>
      <c r="G553" s="915"/>
      <c r="H553" s="917">
        <v>14150</v>
      </c>
      <c r="I553" s="918"/>
      <c r="J553" s="917">
        <v>627760</v>
      </c>
    </row>
    <row r="554" spans="1:10">
      <c r="A554" t="s">
        <v>4292</v>
      </c>
      <c r="B554" s="915" t="s">
        <v>3974</v>
      </c>
      <c r="C554" s="915" t="str">
        <f t="shared" si="8"/>
        <v>9월</v>
      </c>
      <c r="D554" s="916" t="s">
        <v>3976</v>
      </c>
      <c r="E554" s="916"/>
      <c r="F554" s="916"/>
      <c r="G554" s="915"/>
      <c r="H554" s="917">
        <v>182470</v>
      </c>
      <c r="I554" s="918"/>
      <c r="J554" s="918"/>
    </row>
    <row r="555" spans="1:10">
      <c r="A555" t="s">
        <v>4292</v>
      </c>
      <c r="B555" s="915" t="s">
        <v>3974</v>
      </c>
      <c r="C555" s="915" t="str">
        <f t="shared" si="8"/>
        <v>9월</v>
      </c>
      <c r="D555" s="916" t="s">
        <v>3976</v>
      </c>
      <c r="E555" s="916"/>
      <c r="F555" s="916"/>
      <c r="G555" s="915"/>
      <c r="H555" s="917">
        <v>111410</v>
      </c>
      <c r="I555" s="918"/>
      <c r="J555" s="917">
        <v>921640</v>
      </c>
    </row>
    <row r="556" spans="1:10">
      <c r="A556" t="s">
        <v>4292</v>
      </c>
      <c r="B556" s="915" t="s">
        <v>4124</v>
      </c>
      <c r="C556" s="915" t="str">
        <f t="shared" si="8"/>
        <v>9월</v>
      </c>
      <c r="D556" s="916" t="s">
        <v>4223</v>
      </c>
      <c r="E556" s="916" t="s">
        <v>4224</v>
      </c>
      <c r="F556" s="916" t="s">
        <v>4225</v>
      </c>
      <c r="G556" s="915" t="s">
        <v>4226</v>
      </c>
      <c r="H556" s="917">
        <v>29700</v>
      </c>
      <c r="I556" s="918"/>
      <c r="J556" s="917">
        <v>951340</v>
      </c>
    </row>
    <row r="557" spans="1:10">
      <c r="A557" t="s">
        <v>4292</v>
      </c>
      <c r="B557" s="915" t="s">
        <v>4143</v>
      </c>
      <c r="C557" s="915" t="str">
        <f t="shared" si="8"/>
        <v>9월</v>
      </c>
      <c r="D557" s="916" t="s">
        <v>4272</v>
      </c>
      <c r="E557" s="916"/>
      <c r="F557" s="916" t="s">
        <v>4222</v>
      </c>
      <c r="G557" s="915"/>
      <c r="H557" s="917">
        <v>112130</v>
      </c>
      <c r="I557" s="918"/>
      <c r="J557" s="917">
        <v>1063470</v>
      </c>
    </row>
    <row r="558" spans="1:10">
      <c r="A558" t="s">
        <v>4292</v>
      </c>
      <c r="B558" s="915" t="s">
        <v>4275</v>
      </c>
      <c r="C558" s="915" t="str">
        <f t="shared" si="8"/>
        <v>9월</v>
      </c>
      <c r="D558" s="916" t="s">
        <v>4276</v>
      </c>
      <c r="E558" s="916" t="s">
        <v>4233</v>
      </c>
      <c r="F558" s="916" t="s">
        <v>4234</v>
      </c>
      <c r="G558" s="915" t="s">
        <v>4235</v>
      </c>
      <c r="H558" s="917">
        <v>173420</v>
      </c>
      <c r="I558" s="918"/>
      <c r="J558" s="917">
        <v>1236890</v>
      </c>
    </row>
    <row r="559" spans="1:10" ht="22.5">
      <c r="A559" t="s">
        <v>4292</v>
      </c>
      <c r="B559" s="915" t="s">
        <v>4277</v>
      </c>
      <c r="C559" s="915" t="str">
        <f t="shared" si="8"/>
        <v>9월</v>
      </c>
      <c r="D559" s="916" t="s">
        <v>4278</v>
      </c>
      <c r="E559" s="916"/>
      <c r="F559" s="916" t="s">
        <v>4230</v>
      </c>
      <c r="G559" s="915"/>
      <c r="H559" s="917">
        <v>14150</v>
      </c>
      <c r="I559" s="918"/>
      <c r="J559" s="917">
        <v>1251040</v>
      </c>
    </row>
    <row r="560" spans="1:10">
      <c r="A560" t="s">
        <v>4292</v>
      </c>
      <c r="B560" s="915" t="s">
        <v>4055</v>
      </c>
      <c r="C560" s="915" t="str">
        <f t="shared" si="8"/>
        <v>10월</v>
      </c>
      <c r="D560" s="916" t="s">
        <v>4279</v>
      </c>
      <c r="E560" s="916"/>
      <c r="F560" s="916"/>
      <c r="G560" s="915"/>
      <c r="H560" s="917">
        <v>-173420</v>
      </c>
      <c r="I560" s="918"/>
      <c r="J560" s="917">
        <v>1077620</v>
      </c>
    </row>
    <row r="561" spans="1:10">
      <c r="A561" t="s">
        <v>4292</v>
      </c>
      <c r="B561" s="915" t="s">
        <v>4144</v>
      </c>
      <c r="C561" s="915" t="str">
        <f t="shared" si="8"/>
        <v>10월</v>
      </c>
      <c r="D561" s="916" t="s">
        <v>4280</v>
      </c>
      <c r="E561" s="916"/>
      <c r="F561" s="916"/>
      <c r="G561" s="915"/>
      <c r="H561" s="917">
        <v>-172470</v>
      </c>
      <c r="I561" s="918"/>
      <c r="J561" s="918"/>
    </row>
    <row r="562" spans="1:10">
      <c r="A562" t="s">
        <v>4292</v>
      </c>
      <c r="B562" s="915" t="s">
        <v>4144</v>
      </c>
      <c r="C562" s="915" t="str">
        <f t="shared" si="8"/>
        <v>10월</v>
      </c>
      <c r="D562" s="916" t="s">
        <v>4281</v>
      </c>
      <c r="E562" s="916"/>
      <c r="F562" s="916" t="s">
        <v>4222</v>
      </c>
      <c r="G562" s="915"/>
      <c r="H562" s="917">
        <v>152130</v>
      </c>
      <c r="I562" s="918"/>
      <c r="J562" s="917">
        <v>1057280</v>
      </c>
    </row>
    <row r="563" spans="1:10">
      <c r="A563" t="s">
        <v>4292</v>
      </c>
      <c r="B563" s="915" t="s">
        <v>3898</v>
      </c>
      <c r="C563" s="915" t="str">
        <f t="shared" si="8"/>
        <v>10월</v>
      </c>
      <c r="D563" s="916" t="s">
        <v>4282</v>
      </c>
      <c r="E563" s="916" t="s">
        <v>4233</v>
      </c>
      <c r="F563" s="916" t="s">
        <v>4234</v>
      </c>
      <c r="G563" s="915" t="s">
        <v>4235</v>
      </c>
      <c r="H563" s="917">
        <v>172470</v>
      </c>
      <c r="I563" s="918"/>
      <c r="J563" s="917">
        <v>1229750</v>
      </c>
    </row>
    <row r="564" spans="1:10" ht="22.5">
      <c r="A564" t="s">
        <v>4292</v>
      </c>
      <c r="B564" s="915" t="s">
        <v>4283</v>
      </c>
      <c r="C564" s="915" t="str">
        <f t="shared" si="8"/>
        <v>10월</v>
      </c>
      <c r="D564" s="916" t="s">
        <v>4278</v>
      </c>
      <c r="E564" s="916"/>
      <c r="F564" s="916" t="s">
        <v>4230</v>
      </c>
      <c r="G564" s="915"/>
      <c r="H564" s="917">
        <v>14150</v>
      </c>
      <c r="I564" s="918"/>
      <c r="J564" s="917">
        <v>1243900</v>
      </c>
    </row>
    <row r="565" spans="1:10">
      <c r="A565" t="s">
        <v>4292</v>
      </c>
      <c r="B565" s="915" t="s">
        <v>3835</v>
      </c>
      <c r="C565" s="915" t="str">
        <f t="shared" si="8"/>
        <v>11월</v>
      </c>
      <c r="D565" s="916" t="s">
        <v>4223</v>
      </c>
      <c r="E565" s="916" t="s">
        <v>4224</v>
      </c>
      <c r="F565" s="916" t="s">
        <v>4225</v>
      </c>
      <c r="G565" s="915" t="s">
        <v>4226</v>
      </c>
      <c r="H565" s="917">
        <v>134750</v>
      </c>
      <c r="I565" s="918"/>
      <c r="J565" s="917">
        <v>1378650</v>
      </c>
    </row>
    <row r="566" spans="1:10">
      <c r="A566" t="s">
        <v>4292</v>
      </c>
      <c r="B566" s="915" t="s">
        <v>3838</v>
      </c>
      <c r="C566" s="915" t="str">
        <f t="shared" si="8"/>
        <v>11월</v>
      </c>
      <c r="D566" s="916" t="s">
        <v>4284</v>
      </c>
      <c r="E566" s="916"/>
      <c r="F566" s="916"/>
      <c r="G566" s="915"/>
      <c r="H566" s="917">
        <v>-169650</v>
      </c>
      <c r="I566" s="918"/>
      <c r="J566" s="918"/>
    </row>
    <row r="567" spans="1:10">
      <c r="A567" t="s">
        <v>4292</v>
      </c>
      <c r="B567" s="915" t="s">
        <v>3838</v>
      </c>
      <c r="C567" s="915" t="str">
        <f t="shared" si="8"/>
        <v>11월</v>
      </c>
      <c r="D567" s="916" t="s">
        <v>4285</v>
      </c>
      <c r="E567" s="916"/>
      <c r="F567" s="916" t="s">
        <v>4222</v>
      </c>
      <c r="G567" s="915"/>
      <c r="H567" s="917">
        <v>110810</v>
      </c>
      <c r="I567" s="918"/>
      <c r="J567" s="917">
        <v>1319810</v>
      </c>
    </row>
    <row r="568" spans="1:10">
      <c r="A568" t="s">
        <v>4292</v>
      </c>
      <c r="B568" s="915" t="s">
        <v>3901</v>
      </c>
      <c r="C568" s="915" t="str">
        <f t="shared" si="8"/>
        <v>11월</v>
      </c>
      <c r="D568" s="916" t="s">
        <v>4286</v>
      </c>
      <c r="E568" s="916"/>
      <c r="F568" s="916" t="s">
        <v>4238</v>
      </c>
      <c r="G568" s="915"/>
      <c r="H568" s="917">
        <v>169650</v>
      </c>
      <c r="I568" s="918"/>
      <c r="J568" s="917">
        <v>1489460</v>
      </c>
    </row>
    <row r="569" spans="1:10" ht="22.5">
      <c r="A569" t="s">
        <v>4292</v>
      </c>
      <c r="B569" s="915" t="s">
        <v>4287</v>
      </c>
      <c r="C569" s="915" t="str">
        <f t="shared" si="8"/>
        <v>11월</v>
      </c>
      <c r="D569" s="916" t="s">
        <v>4278</v>
      </c>
      <c r="E569" s="916"/>
      <c r="F569" s="916" t="s">
        <v>4230</v>
      </c>
      <c r="G569" s="915"/>
      <c r="H569" s="917">
        <v>14150</v>
      </c>
      <c r="I569" s="918"/>
      <c r="J569" s="917">
        <v>1503610</v>
      </c>
    </row>
    <row r="570" spans="1:10">
      <c r="A570" t="s">
        <v>4292</v>
      </c>
      <c r="B570" s="915" t="s">
        <v>4215</v>
      </c>
      <c r="C570" s="915" t="str">
        <f t="shared" si="8"/>
        <v>12월</v>
      </c>
      <c r="D570" s="916" t="s">
        <v>4223</v>
      </c>
      <c r="E570" s="916" t="s">
        <v>4224</v>
      </c>
      <c r="F570" s="916" t="s">
        <v>4225</v>
      </c>
      <c r="G570" s="915" t="s">
        <v>4226</v>
      </c>
      <c r="H570" s="917">
        <v>218240</v>
      </c>
      <c r="I570" s="918"/>
      <c r="J570" s="917">
        <v>1721850</v>
      </c>
    </row>
    <row r="571" spans="1:10">
      <c r="A571" t="s">
        <v>4292</v>
      </c>
      <c r="B571" s="915" t="s">
        <v>4145</v>
      </c>
      <c r="C571" s="915" t="str">
        <f t="shared" si="8"/>
        <v>12월</v>
      </c>
      <c r="D571" s="916" t="s">
        <v>4288</v>
      </c>
      <c r="E571" s="916"/>
      <c r="F571" s="916" t="s">
        <v>4222</v>
      </c>
      <c r="G571" s="915"/>
      <c r="H571" s="917">
        <v>157630</v>
      </c>
      <c r="I571" s="918"/>
      <c r="J571" s="917">
        <v>1879480</v>
      </c>
    </row>
    <row r="572" spans="1:10">
      <c r="A572" t="s">
        <v>4292</v>
      </c>
      <c r="B572" s="915" t="s">
        <v>3330</v>
      </c>
      <c r="C572" s="915" t="str">
        <f t="shared" si="8"/>
        <v>12월</v>
      </c>
      <c r="D572" s="916" t="s">
        <v>4289</v>
      </c>
      <c r="E572" s="916" t="s">
        <v>4290</v>
      </c>
      <c r="F572" s="916" t="s">
        <v>4228</v>
      </c>
      <c r="G572" s="915" t="s">
        <v>4235</v>
      </c>
      <c r="H572" s="917">
        <v>176170</v>
      </c>
      <c r="I572" s="918"/>
      <c r="J572" s="917">
        <v>2055650</v>
      </c>
    </row>
    <row r="573" spans="1:10" ht="22.5">
      <c r="A573" t="s">
        <v>4292</v>
      </c>
      <c r="B573" s="915" t="s">
        <v>4291</v>
      </c>
      <c r="C573" s="915" t="str">
        <f t="shared" si="8"/>
        <v>12월</v>
      </c>
      <c r="D573" s="916" t="s">
        <v>4278</v>
      </c>
      <c r="E573" s="916"/>
      <c r="F573" s="916" t="s">
        <v>4230</v>
      </c>
      <c r="G573" s="915"/>
      <c r="H573" s="917">
        <v>14150</v>
      </c>
      <c r="I573" s="918"/>
      <c r="J573" s="917">
        <v>2069800</v>
      </c>
    </row>
    <row r="574" spans="1:10">
      <c r="A574" t="s">
        <v>4362</v>
      </c>
      <c r="B574" s="915" t="s">
        <v>3635</v>
      </c>
      <c r="C574" s="915" t="str">
        <f t="shared" si="8"/>
        <v>1월</v>
      </c>
      <c r="D574" s="916" t="s">
        <v>4293</v>
      </c>
      <c r="E574" s="916" t="s">
        <v>4294</v>
      </c>
      <c r="F574" s="916" t="s">
        <v>4295</v>
      </c>
      <c r="G574" s="915" t="s">
        <v>4296</v>
      </c>
      <c r="H574" s="917">
        <v>28000</v>
      </c>
      <c r="I574" s="918"/>
      <c r="J574" s="918"/>
    </row>
    <row r="575" spans="1:10">
      <c r="A575" t="s">
        <v>4362</v>
      </c>
      <c r="B575" s="915" t="s">
        <v>3635</v>
      </c>
      <c r="C575" s="915" t="str">
        <f t="shared" si="8"/>
        <v>1월</v>
      </c>
      <c r="D575" s="916" t="s">
        <v>4293</v>
      </c>
      <c r="E575" s="916" t="s">
        <v>4294</v>
      </c>
      <c r="F575" s="916" t="s">
        <v>4295</v>
      </c>
      <c r="G575" s="915" t="s">
        <v>4296</v>
      </c>
      <c r="H575" s="917">
        <v>20000</v>
      </c>
      <c r="I575" s="918"/>
      <c r="J575" s="918"/>
    </row>
    <row r="576" spans="1:10">
      <c r="A576" t="s">
        <v>4362</v>
      </c>
      <c r="B576" s="915" t="s">
        <v>3635</v>
      </c>
      <c r="C576" s="915" t="str">
        <f t="shared" si="8"/>
        <v>1월</v>
      </c>
      <c r="D576" s="916" t="s">
        <v>4293</v>
      </c>
      <c r="E576" s="916"/>
      <c r="F576" s="916" t="s">
        <v>4297</v>
      </c>
      <c r="G576" s="915"/>
      <c r="H576" s="917">
        <v>15000</v>
      </c>
      <c r="I576" s="918"/>
      <c r="J576" s="918"/>
    </row>
    <row r="577" spans="1:10">
      <c r="A577" t="s">
        <v>4362</v>
      </c>
      <c r="B577" s="915" t="s">
        <v>3635</v>
      </c>
      <c r="C577" s="915" t="str">
        <f t="shared" si="8"/>
        <v>1월</v>
      </c>
      <c r="D577" s="916" t="s">
        <v>4298</v>
      </c>
      <c r="E577" s="916"/>
      <c r="F577" s="916" t="s">
        <v>4299</v>
      </c>
      <c r="G577" s="915"/>
      <c r="H577" s="917">
        <v>10000</v>
      </c>
      <c r="I577" s="918"/>
      <c r="J577" s="917">
        <v>73000</v>
      </c>
    </row>
    <row r="578" spans="1:10">
      <c r="A578" t="s">
        <v>4362</v>
      </c>
      <c r="B578" s="915" t="s">
        <v>3649</v>
      </c>
      <c r="C578" s="915" t="str">
        <f t="shared" si="8"/>
        <v>1월</v>
      </c>
      <c r="D578" s="916" t="s">
        <v>4300</v>
      </c>
      <c r="E578" s="916" t="s">
        <v>4301</v>
      </c>
      <c r="F578" s="916" t="s">
        <v>4302</v>
      </c>
      <c r="G578" s="915" t="s">
        <v>4303</v>
      </c>
      <c r="H578" s="917">
        <v>1930</v>
      </c>
      <c r="I578" s="918"/>
      <c r="J578" s="917">
        <v>74930</v>
      </c>
    </row>
    <row r="579" spans="1:10">
      <c r="A579" t="s">
        <v>4362</v>
      </c>
      <c r="B579" s="915" t="s">
        <v>3667</v>
      </c>
      <c r="C579" s="915" t="str">
        <f t="shared" ref="C579:C642" si="9">MONTH(B579)&amp;"월"</f>
        <v>2월</v>
      </c>
      <c r="D579" s="916" t="s">
        <v>4304</v>
      </c>
      <c r="E579" s="916"/>
      <c r="F579" s="916" t="s">
        <v>4305</v>
      </c>
      <c r="G579" s="915"/>
      <c r="H579" s="917">
        <v>4100</v>
      </c>
      <c r="I579" s="918"/>
      <c r="J579" s="917">
        <v>79030</v>
      </c>
    </row>
    <row r="580" spans="1:10">
      <c r="A580" t="s">
        <v>4362</v>
      </c>
      <c r="B580" s="915" t="s">
        <v>3676</v>
      </c>
      <c r="C580" s="915" t="str">
        <f t="shared" si="9"/>
        <v>2월</v>
      </c>
      <c r="D580" s="916" t="s">
        <v>4306</v>
      </c>
      <c r="E580" s="916" t="s">
        <v>4294</v>
      </c>
      <c r="F580" s="916" t="s">
        <v>4295</v>
      </c>
      <c r="G580" s="915" t="s">
        <v>4296</v>
      </c>
      <c r="H580" s="917">
        <v>38000</v>
      </c>
      <c r="I580" s="918"/>
      <c r="J580" s="918"/>
    </row>
    <row r="581" spans="1:10">
      <c r="A581" t="s">
        <v>4362</v>
      </c>
      <c r="B581" s="915" t="s">
        <v>3676</v>
      </c>
      <c r="C581" s="915" t="str">
        <f t="shared" si="9"/>
        <v>2월</v>
      </c>
      <c r="D581" s="916" t="s">
        <v>4307</v>
      </c>
      <c r="E581" s="916" t="s">
        <v>4301</v>
      </c>
      <c r="F581" s="916" t="s">
        <v>4302</v>
      </c>
      <c r="G581" s="915" t="s">
        <v>4303</v>
      </c>
      <c r="H581" s="917">
        <v>25360</v>
      </c>
      <c r="I581" s="918"/>
      <c r="J581" s="918"/>
    </row>
    <row r="582" spans="1:10">
      <c r="A582" t="s">
        <v>4362</v>
      </c>
      <c r="B582" s="915" t="s">
        <v>3676</v>
      </c>
      <c r="C582" s="915" t="str">
        <f t="shared" si="9"/>
        <v>2월</v>
      </c>
      <c r="D582" s="916" t="s">
        <v>4308</v>
      </c>
      <c r="E582" s="916"/>
      <c r="F582" s="916" t="s">
        <v>4309</v>
      </c>
      <c r="G582" s="915"/>
      <c r="H582" s="917">
        <v>2500</v>
      </c>
      <c r="I582" s="918"/>
      <c r="J582" s="917">
        <v>144890</v>
      </c>
    </row>
    <row r="583" spans="1:10">
      <c r="A583" t="s">
        <v>4362</v>
      </c>
      <c r="B583" s="915" t="s">
        <v>3680</v>
      </c>
      <c r="C583" s="915" t="str">
        <f t="shared" si="9"/>
        <v>2월</v>
      </c>
      <c r="D583" s="916" t="s">
        <v>4310</v>
      </c>
      <c r="E583" s="916"/>
      <c r="F583" s="916" t="s">
        <v>4311</v>
      </c>
      <c r="G583" s="915"/>
      <c r="H583" s="917">
        <v>14000</v>
      </c>
      <c r="I583" s="918"/>
      <c r="J583" s="917">
        <v>158890</v>
      </c>
    </row>
    <row r="584" spans="1:10">
      <c r="A584" t="s">
        <v>4362</v>
      </c>
      <c r="B584" s="915" t="s">
        <v>3604</v>
      </c>
      <c r="C584" s="915" t="str">
        <f t="shared" si="9"/>
        <v>2월</v>
      </c>
      <c r="D584" s="916" t="s">
        <v>3607</v>
      </c>
      <c r="E584" s="916"/>
      <c r="F584" s="916" t="s">
        <v>4312</v>
      </c>
      <c r="G584" s="915"/>
      <c r="H584" s="917">
        <v>16000</v>
      </c>
      <c r="I584" s="918"/>
      <c r="J584" s="917">
        <v>174890</v>
      </c>
    </row>
    <row r="585" spans="1:10">
      <c r="A585" t="s">
        <v>4362</v>
      </c>
      <c r="B585" s="915" t="s">
        <v>3687</v>
      </c>
      <c r="C585" s="915" t="str">
        <f t="shared" si="9"/>
        <v>2월</v>
      </c>
      <c r="D585" s="916" t="s">
        <v>4304</v>
      </c>
      <c r="E585" s="916"/>
      <c r="F585" s="916" t="s">
        <v>4313</v>
      </c>
      <c r="G585" s="915"/>
      <c r="H585" s="917">
        <v>14000</v>
      </c>
      <c r="I585" s="918"/>
      <c r="J585" s="918"/>
    </row>
    <row r="586" spans="1:10">
      <c r="A586" t="s">
        <v>4362</v>
      </c>
      <c r="B586" s="915" t="s">
        <v>3687</v>
      </c>
      <c r="C586" s="915" t="str">
        <f t="shared" si="9"/>
        <v>2월</v>
      </c>
      <c r="D586" s="916" t="s">
        <v>4304</v>
      </c>
      <c r="E586" s="916"/>
      <c r="F586" s="916" t="s">
        <v>4314</v>
      </c>
      <c r="G586" s="915"/>
      <c r="H586" s="917">
        <v>12000</v>
      </c>
      <c r="I586" s="918"/>
      <c r="J586" s="917">
        <v>200890</v>
      </c>
    </row>
    <row r="587" spans="1:10">
      <c r="A587" t="s">
        <v>4362</v>
      </c>
      <c r="B587" s="915" t="s">
        <v>4133</v>
      </c>
      <c r="C587" s="915" t="str">
        <f t="shared" si="9"/>
        <v>3월</v>
      </c>
      <c r="D587" s="916" t="s">
        <v>4315</v>
      </c>
      <c r="E587" s="916"/>
      <c r="F587" s="916" t="s">
        <v>4316</v>
      </c>
      <c r="G587" s="915"/>
      <c r="H587" s="917">
        <v>10000</v>
      </c>
      <c r="I587" s="918"/>
      <c r="J587" s="917">
        <v>210890</v>
      </c>
    </row>
    <row r="588" spans="1:10">
      <c r="A588" t="s">
        <v>4362</v>
      </c>
      <c r="B588" s="915" t="s">
        <v>4017</v>
      </c>
      <c r="C588" s="915" t="str">
        <f t="shared" si="9"/>
        <v>3월</v>
      </c>
      <c r="D588" s="916" t="s">
        <v>4317</v>
      </c>
      <c r="E588" s="916"/>
      <c r="F588" s="916" t="s">
        <v>4318</v>
      </c>
      <c r="G588" s="915"/>
      <c r="H588" s="917">
        <v>10000</v>
      </c>
      <c r="I588" s="918"/>
      <c r="J588" s="917">
        <v>220890</v>
      </c>
    </row>
    <row r="589" spans="1:10">
      <c r="A589" t="s">
        <v>4362</v>
      </c>
      <c r="B589" s="915" t="s">
        <v>3693</v>
      </c>
      <c r="C589" s="915" t="str">
        <f t="shared" si="9"/>
        <v>3월</v>
      </c>
      <c r="D589" s="916" t="s">
        <v>4319</v>
      </c>
      <c r="E589" s="916"/>
      <c r="F589" s="916" t="s">
        <v>4320</v>
      </c>
      <c r="G589" s="915"/>
      <c r="H589" s="917">
        <v>10000</v>
      </c>
      <c r="I589" s="918"/>
      <c r="J589" s="917">
        <v>230890</v>
      </c>
    </row>
    <row r="590" spans="1:10">
      <c r="A590" t="s">
        <v>4362</v>
      </c>
      <c r="B590" s="915" t="s">
        <v>4321</v>
      </c>
      <c r="C590" s="915" t="str">
        <f t="shared" si="9"/>
        <v>3월</v>
      </c>
      <c r="D590" s="916" t="s">
        <v>4322</v>
      </c>
      <c r="E590" s="916"/>
      <c r="F590" s="916" t="s">
        <v>4323</v>
      </c>
      <c r="G590" s="915"/>
      <c r="H590" s="917">
        <v>14000</v>
      </c>
      <c r="I590" s="918"/>
      <c r="J590" s="917">
        <v>244890</v>
      </c>
    </row>
    <row r="591" spans="1:10">
      <c r="A591" t="s">
        <v>4362</v>
      </c>
      <c r="B591" s="915" t="s">
        <v>4324</v>
      </c>
      <c r="C591" s="915" t="str">
        <f t="shared" si="9"/>
        <v>3월</v>
      </c>
      <c r="D591" s="916" t="s">
        <v>4325</v>
      </c>
      <c r="E591" s="916"/>
      <c r="F591" s="916" t="s">
        <v>4326</v>
      </c>
      <c r="G591" s="915"/>
      <c r="H591" s="917">
        <v>15000</v>
      </c>
      <c r="I591" s="918"/>
      <c r="J591" s="917">
        <v>259890</v>
      </c>
    </row>
    <row r="592" spans="1:10">
      <c r="A592" t="s">
        <v>4362</v>
      </c>
      <c r="B592" s="915" t="s">
        <v>3700</v>
      </c>
      <c r="C592" s="915" t="str">
        <f t="shared" si="9"/>
        <v>3월</v>
      </c>
      <c r="D592" s="916" t="s">
        <v>4327</v>
      </c>
      <c r="E592" s="916"/>
      <c r="F592" s="916" t="s">
        <v>4328</v>
      </c>
      <c r="G592" s="915"/>
      <c r="H592" s="917">
        <v>10000</v>
      </c>
      <c r="I592" s="918"/>
      <c r="J592" s="917">
        <v>269890</v>
      </c>
    </row>
    <row r="593" spans="1:10">
      <c r="A593" t="s">
        <v>4362</v>
      </c>
      <c r="B593" s="915" t="s">
        <v>4329</v>
      </c>
      <c r="C593" s="915" t="str">
        <f t="shared" si="9"/>
        <v>3월</v>
      </c>
      <c r="D593" s="916" t="s">
        <v>4330</v>
      </c>
      <c r="E593" s="916"/>
      <c r="F593" s="916" t="s">
        <v>4305</v>
      </c>
      <c r="G593" s="915"/>
      <c r="H593" s="917">
        <v>2170</v>
      </c>
      <c r="I593" s="918"/>
      <c r="J593" s="917">
        <v>272060</v>
      </c>
    </row>
    <row r="594" spans="1:10">
      <c r="A594" t="s">
        <v>4362</v>
      </c>
      <c r="B594" s="915" t="s">
        <v>3878</v>
      </c>
      <c r="C594" s="915" t="str">
        <f t="shared" si="9"/>
        <v>3월</v>
      </c>
      <c r="D594" s="916" t="s">
        <v>4330</v>
      </c>
      <c r="E594" s="916"/>
      <c r="F594" s="916" t="s">
        <v>4305</v>
      </c>
      <c r="G594" s="915"/>
      <c r="H594" s="917">
        <v>2170</v>
      </c>
      <c r="I594" s="918"/>
      <c r="J594" s="917">
        <v>274230</v>
      </c>
    </row>
    <row r="595" spans="1:10">
      <c r="A595" t="s">
        <v>4362</v>
      </c>
      <c r="B595" s="915" t="s">
        <v>3719</v>
      </c>
      <c r="C595" s="915" t="str">
        <f t="shared" si="9"/>
        <v>4월</v>
      </c>
      <c r="D595" s="916" t="s">
        <v>4325</v>
      </c>
      <c r="E595" s="916"/>
      <c r="F595" s="916" t="s">
        <v>4331</v>
      </c>
      <c r="G595" s="915"/>
      <c r="H595" s="917">
        <v>1840</v>
      </c>
      <c r="I595" s="918"/>
      <c r="J595" s="917">
        <v>276070</v>
      </c>
    </row>
    <row r="596" spans="1:10">
      <c r="A596" t="s">
        <v>4362</v>
      </c>
      <c r="B596" s="915" t="s">
        <v>4332</v>
      </c>
      <c r="C596" s="915" t="str">
        <f t="shared" si="9"/>
        <v>4월</v>
      </c>
      <c r="D596" s="916" t="s">
        <v>4333</v>
      </c>
      <c r="E596" s="916"/>
      <c r="F596" s="916" t="s">
        <v>4309</v>
      </c>
      <c r="G596" s="915"/>
      <c r="H596" s="917">
        <v>2500</v>
      </c>
      <c r="I596" s="918"/>
      <c r="J596" s="917">
        <v>278570</v>
      </c>
    </row>
    <row r="597" spans="1:10">
      <c r="A597" t="s">
        <v>4362</v>
      </c>
      <c r="B597" s="915" t="s">
        <v>4334</v>
      </c>
      <c r="C597" s="915" t="str">
        <f t="shared" si="9"/>
        <v>5월</v>
      </c>
      <c r="D597" s="916" t="s">
        <v>4335</v>
      </c>
      <c r="E597" s="916"/>
      <c r="F597" s="916" t="s">
        <v>4305</v>
      </c>
      <c r="G597" s="915"/>
      <c r="H597" s="917">
        <v>7000</v>
      </c>
      <c r="I597" s="918"/>
      <c r="J597" s="917">
        <v>285570</v>
      </c>
    </row>
    <row r="598" spans="1:10">
      <c r="A598" t="s">
        <v>4362</v>
      </c>
      <c r="B598" s="915" t="s">
        <v>4139</v>
      </c>
      <c r="C598" s="915" t="str">
        <f t="shared" si="9"/>
        <v>5월</v>
      </c>
      <c r="D598" s="916" t="s">
        <v>4306</v>
      </c>
      <c r="E598" s="916" t="s">
        <v>4294</v>
      </c>
      <c r="F598" s="916" t="s">
        <v>4295</v>
      </c>
      <c r="G598" s="915" t="s">
        <v>4296</v>
      </c>
      <c r="H598" s="917">
        <v>24000</v>
      </c>
      <c r="I598" s="918"/>
      <c r="J598" s="918"/>
    </row>
    <row r="599" spans="1:10">
      <c r="A599" t="s">
        <v>4362</v>
      </c>
      <c r="B599" s="915" t="s">
        <v>4139</v>
      </c>
      <c r="C599" s="915" t="str">
        <f t="shared" si="9"/>
        <v>5월</v>
      </c>
      <c r="D599" s="916" t="s">
        <v>4306</v>
      </c>
      <c r="E599" s="916" t="s">
        <v>4294</v>
      </c>
      <c r="F599" s="916" t="s">
        <v>4295</v>
      </c>
      <c r="G599" s="915" t="s">
        <v>4296</v>
      </c>
      <c r="H599" s="917">
        <v>24000</v>
      </c>
      <c r="I599" s="918"/>
      <c r="J599" s="918"/>
    </row>
    <row r="600" spans="1:10">
      <c r="A600" t="s">
        <v>4362</v>
      </c>
      <c r="B600" s="915" t="s">
        <v>4139</v>
      </c>
      <c r="C600" s="915" t="str">
        <f t="shared" si="9"/>
        <v>5월</v>
      </c>
      <c r="D600" s="916" t="s">
        <v>4306</v>
      </c>
      <c r="E600" s="916" t="s">
        <v>4294</v>
      </c>
      <c r="F600" s="916" t="s">
        <v>4295</v>
      </c>
      <c r="G600" s="915" t="s">
        <v>4296</v>
      </c>
      <c r="H600" s="917">
        <v>25000</v>
      </c>
      <c r="I600" s="918"/>
      <c r="J600" s="918"/>
    </row>
    <row r="601" spans="1:10">
      <c r="A601" t="s">
        <v>4362</v>
      </c>
      <c r="B601" s="915" t="s">
        <v>4139</v>
      </c>
      <c r="C601" s="915" t="str">
        <f t="shared" si="9"/>
        <v>5월</v>
      </c>
      <c r="D601" s="916" t="s">
        <v>4307</v>
      </c>
      <c r="E601" s="916" t="s">
        <v>4301</v>
      </c>
      <c r="F601" s="916" t="s">
        <v>4302</v>
      </c>
      <c r="G601" s="915" t="s">
        <v>4303</v>
      </c>
      <c r="H601" s="917">
        <v>1930</v>
      </c>
      <c r="I601" s="918"/>
      <c r="J601" s="917">
        <v>360500</v>
      </c>
    </row>
    <row r="602" spans="1:10">
      <c r="A602" t="s">
        <v>4362</v>
      </c>
      <c r="B602" s="915" t="s">
        <v>3747</v>
      </c>
      <c r="C602" s="915" t="str">
        <f t="shared" si="9"/>
        <v>5월</v>
      </c>
      <c r="D602" s="916" t="s">
        <v>4336</v>
      </c>
      <c r="E602" s="916"/>
      <c r="F602" s="916" t="s">
        <v>4305</v>
      </c>
      <c r="G602" s="915"/>
      <c r="H602" s="917">
        <v>4000</v>
      </c>
      <c r="I602" s="918"/>
      <c r="J602" s="917">
        <v>364500</v>
      </c>
    </row>
    <row r="603" spans="1:10">
      <c r="A603" t="s">
        <v>4362</v>
      </c>
      <c r="B603" s="915" t="s">
        <v>4337</v>
      </c>
      <c r="C603" s="915" t="str">
        <f t="shared" si="9"/>
        <v>6월</v>
      </c>
      <c r="D603" s="916" t="s">
        <v>4307</v>
      </c>
      <c r="E603" s="916" t="s">
        <v>4301</v>
      </c>
      <c r="F603" s="916" t="s">
        <v>4302</v>
      </c>
      <c r="G603" s="915" t="s">
        <v>4303</v>
      </c>
      <c r="H603" s="917">
        <v>1840</v>
      </c>
      <c r="I603" s="918"/>
      <c r="J603" s="917">
        <v>366340</v>
      </c>
    </row>
    <row r="604" spans="1:10">
      <c r="A604" t="s">
        <v>4362</v>
      </c>
      <c r="B604" s="915" t="s">
        <v>4338</v>
      </c>
      <c r="C604" s="915" t="str">
        <f t="shared" si="9"/>
        <v>6월</v>
      </c>
      <c r="D604" s="916" t="s">
        <v>4307</v>
      </c>
      <c r="E604" s="916" t="s">
        <v>4301</v>
      </c>
      <c r="F604" s="916" t="s">
        <v>4302</v>
      </c>
      <c r="G604" s="915" t="s">
        <v>4303</v>
      </c>
      <c r="H604" s="917">
        <v>3010</v>
      </c>
      <c r="I604" s="918"/>
      <c r="J604" s="917">
        <v>369350</v>
      </c>
    </row>
    <row r="605" spans="1:10">
      <c r="A605" t="s">
        <v>4362</v>
      </c>
      <c r="B605" s="915" t="s">
        <v>4140</v>
      </c>
      <c r="C605" s="915" t="str">
        <f t="shared" si="9"/>
        <v>6월</v>
      </c>
      <c r="D605" s="916" t="s">
        <v>4335</v>
      </c>
      <c r="E605" s="916"/>
      <c r="F605" s="916" t="s">
        <v>4305</v>
      </c>
      <c r="G605" s="915"/>
      <c r="H605" s="917">
        <v>3000</v>
      </c>
      <c r="I605" s="918"/>
      <c r="J605" s="917">
        <v>372350</v>
      </c>
    </row>
    <row r="606" spans="1:10">
      <c r="A606" t="s">
        <v>4362</v>
      </c>
      <c r="B606" s="915" t="s">
        <v>3757</v>
      </c>
      <c r="C606" s="915" t="str">
        <f t="shared" si="9"/>
        <v>7월</v>
      </c>
      <c r="D606" s="916" t="s">
        <v>4339</v>
      </c>
      <c r="E606" s="916"/>
      <c r="F606" s="916" t="s">
        <v>4311</v>
      </c>
      <c r="G606" s="915"/>
      <c r="H606" s="917">
        <v>10000</v>
      </c>
      <c r="I606" s="918"/>
      <c r="J606" s="917">
        <v>382350</v>
      </c>
    </row>
    <row r="607" spans="1:10">
      <c r="A607" t="s">
        <v>4362</v>
      </c>
      <c r="B607" s="915" t="s">
        <v>3763</v>
      </c>
      <c r="C607" s="915" t="str">
        <f t="shared" si="9"/>
        <v>7월</v>
      </c>
      <c r="D607" s="916" t="s">
        <v>4340</v>
      </c>
      <c r="E607" s="916"/>
      <c r="F607" s="916" t="s">
        <v>4341</v>
      </c>
      <c r="G607" s="915"/>
      <c r="H607" s="917">
        <v>9000</v>
      </c>
      <c r="I607" s="918"/>
      <c r="J607" s="917">
        <v>391350</v>
      </c>
    </row>
    <row r="608" spans="1:10">
      <c r="A608" t="s">
        <v>4362</v>
      </c>
      <c r="B608" s="915" t="s">
        <v>4342</v>
      </c>
      <c r="C608" s="915" t="str">
        <f t="shared" si="9"/>
        <v>7월</v>
      </c>
      <c r="D608" s="916" t="s">
        <v>4343</v>
      </c>
      <c r="E608" s="916"/>
      <c r="F608" s="916" t="s">
        <v>4309</v>
      </c>
      <c r="G608" s="915"/>
      <c r="H608" s="917">
        <v>2500</v>
      </c>
      <c r="I608" s="918"/>
      <c r="J608" s="917">
        <v>393850</v>
      </c>
    </row>
    <row r="609" spans="1:10">
      <c r="A609" t="s">
        <v>4362</v>
      </c>
      <c r="B609" s="915" t="s">
        <v>4266</v>
      </c>
      <c r="C609" s="915" t="str">
        <f t="shared" si="9"/>
        <v>7월</v>
      </c>
      <c r="D609" s="916" t="s">
        <v>4344</v>
      </c>
      <c r="E609" s="916"/>
      <c r="F609" s="916" t="s">
        <v>4309</v>
      </c>
      <c r="G609" s="915"/>
      <c r="H609" s="917">
        <v>2500</v>
      </c>
      <c r="I609" s="918"/>
      <c r="J609" s="917">
        <v>396350</v>
      </c>
    </row>
    <row r="610" spans="1:10">
      <c r="A610" t="s">
        <v>4362</v>
      </c>
      <c r="B610" s="915" t="s">
        <v>3889</v>
      </c>
      <c r="C610" s="915" t="str">
        <f t="shared" si="9"/>
        <v>7월</v>
      </c>
      <c r="D610" s="916" t="s">
        <v>4307</v>
      </c>
      <c r="E610" s="916" t="s">
        <v>4301</v>
      </c>
      <c r="F610" s="916" t="s">
        <v>4302</v>
      </c>
      <c r="G610" s="915" t="s">
        <v>4303</v>
      </c>
      <c r="H610" s="917">
        <v>1930</v>
      </c>
      <c r="I610" s="918"/>
      <c r="J610" s="917">
        <v>398280</v>
      </c>
    </row>
    <row r="611" spans="1:10">
      <c r="A611" t="s">
        <v>4362</v>
      </c>
      <c r="B611" s="915" t="s">
        <v>3777</v>
      </c>
      <c r="C611" s="915" t="str">
        <f t="shared" si="9"/>
        <v>8월</v>
      </c>
      <c r="D611" s="916" t="s">
        <v>4307</v>
      </c>
      <c r="E611" s="916" t="s">
        <v>4301</v>
      </c>
      <c r="F611" s="916" t="s">
        <v>4302</v>
      </c>
      <c r="G611" s="915" t="s">
        <v>4303</v>
      </c>
      <c r="H611" s="917">
        <v>1840</v>
      </c>
      <c r="I611" s="918"/>
      <c r="J611" s="917">
        <v>400120</v>
      </c>
    </row>
    <row r="612" spans="1:10">
      <c r="A612" t="s">
        <v>4362</v>
      </c>
      <c r="B612" s="915" t="s">
        <v>3972</v>
      </c>
      <c r="C612" s="915" t="str">
        <f t="shared" si="9"/>
        <v>9월</v>
      </c>
      <c r="D612" s="916" t="s">
        <v>4344</v>
      </c>
      <c r="E612" s="916"/>
      <c r="F612" s="916" t="s">
        <v>4345</v>
      </c>
      <c r="G612" s="915"/>
      <c r="H612" s="917">
        <v>2500</v>
      </c>
      <c r="I612" s="918"/>
      <c r="J612" s="917">
        <v>402620</v>
      </c>
    </row>
    <row r="613" spans="1:10">
      <c r="A613" t="s">
        <v>4362</v>
      </c>
      <c r="B613" s="915" t="s">
        <v>3785</v>
      </c>
      <c r="C613" s="915" t="str">
        <f t="shared" si="9"/>
        <v>9월</v>
      </c>
      <c r="D613" s="916" t="s">
        <v>4346</v>
      </c>
      <c r="E613" s="916"/>
      <c r="F613" s="916" t="s">
        <v>4305</v>
      </c>
      <c r="G613" s="915"/>
      <c r="H613" s="917">
        <v>3000</v>
      </c>
      <c r="I613" s="918"/>
      <c r="J613" s="917">
        <v>405620</v>
      </c>
    </row>
    <row r="614" spans="1:10">
      <c r="A614" t="s">
        <v>4362</v>
      </c>
      <c r="B614" s="915" t="s">
        <v>4347</v>
      </c>
      <c r="C614" s="915" t="str">
        <f t="shared" si="9"/>
        <v>9월</v>
      </c>
      <c r="D614" s="916" t="s">
        <v>4344</v>
      </c>
      <c r="E614" s="916"/>
      <c r="F614" s="916" t="s">
        <v>4309</v>
      </c>
      <c r="G614" s="915"/>
      <c r="H614" s="917">
        <v>3000</v>
      </c>
      <c r="I614" s="918"/>
      <c r="J614" s="917">
        <v>408620</v>
      </c>
    </row>
    <row r="615" spans="1:10">
      <c r="A615" t="s">
        <v>4362</v>
      </c>
      <c r="B615" s="915" t="s">
        <v>3616</v>
      </c>
      <c r="C615" s="915" t="str">
        <f t="shared" si="9"/>
        <v>9월</v>
      </c>
      <c r="D615" s="916" t="s">
        <v>4346</v>
      </c>
      <c r="E615" s="916"/>
      <c r="F615" s="916" t="s">
        <v>4305</v>
      </c>
      <c r="G615" s="915"/>
      <c r="H615" s="917">
        <v>3500</v>
      </c>
      <c r="I615" s="918"/>
      <c r="J615" s="918"/>
    </row>
    <row r="616" spans="1:10">
      <c r="A616" t="s">
        <v>4362</v>
      </c>
      <c r="B616" s="915" t="s">
        <v>3616</v>
      </c>
      <c r="C616" s="915" t="str">
        <f t="shared" si="9"/>
        <v>9월</v>
      </c>
      <c r="D616" s="916" t="s">
        <v>4340</v>
      </c>
      <c r="E616" s="916"/>
      <c r="F616" s="916" t="s">
        <v>4348</v>
      </c>
      <c r="G616" s="915"/>
      <c r="H616" s="917">
        <v>10000</v>
      </c>
      <c r="I616" s="918"/>
      <c r="J616" s="917">
        <v>422120</v>
      </c>
    </row>
    <row r="617" spans="1:10">
      <c r="A617" t="s">
        <v>4362</v>
      </c>
      <c r="B617" s="915" t="s">
        <v>4349</v>
      </c>
      <c r="C617" s="915" t="str">
        <f t="shared" si="9"/>
        <v>9월</v>
      </c>
      <c r="D617" s="916" t="s">
        <v>4350</v>
      </c>
      <c r="E617" s="916" t="s">
        <v>4301</v>
      </c>
      <c r="F617" s="916" t="s">
        <v>4302</v>
      </c>
      <c r="G617" s="915" t="s">
        <v>4303</v>
      </c>
      <c r="H617" s="917">
        <v>3770</v>
      </c>
      <c r="I617" s="918"/>
      <c r="J617" s="917">
        <v>425890</v>
      </c>
    </row>
    <row r="618" spans="1:10">
      <c r="A618" t="s">
        <v>4362</v>
      </c>
      <c r="B618" s="915" t="s">
        <v>3807</v>
      </c>
      <c r="C618" s="915" t="str">
        <f t="shared" si="9"/>
        <v>10월</v>
      </c>
      <c r="D618" s="916" t="s">
        <v>4346</v>
      </c>
      <c r="E618" s="916"/>
      <c r="F618" s="916" t="s">
        <v>4305</v>
      </c>
      <c r="G618" s="915"/>
      <c r="H618" s="917">
        <v>2700</v>
      </c>
      <c r="I618" s="918"/>
      <c r="J618" s="918"/>
    </row>
    <row r="619" spans="1:10">
      <c r="A619" t="s">
        <v>4362</v>
      </c>
      <c r="B619" s="915" t="s">
        <v>3807</v>
      </c>
      <c r="C619" s="915" t="str">
        <f t="shared" si="9"/>
        <v>10월</v>
      </c>
      <c r="D619" s="916" t="s">
        <v>4346</v>
      </c>
      <c r="E619" s="916"/>
      <c r="F619" s="916" t="s">
        <v>4305</v>
      </c>
      <c r="G619" s="915"/>
      <c r="H619" s="917">
        <v>2700</v>
      </c>
      <c r="I619" s="918"/>
      <c r="J619" s="917">
        <v>431290</v>
      </c>
    </row>
    <row r="620" spans="1:10">
      <c r="A620" t="s">
        <v>4362</v>
      </c>
      <c r="B620" s="915" t="s">
        <v>3819</v>
      </c>
      <c r="C620" s="915" t="str">
        <f t="shared" si="9"/>
        <v>10월</v>
      </c>
      <c r="D620" s="916" t="s">
        <v>4346</v>
      </c>
      <c r="E620" s="916"/>
      <c r="F620" s="916" t="s">
        <v>4305</v>
      </c>
      <c r="G620" s="915"/>
      <c r="H620" s="917">
        <v>3000</v>
      </c>
      <c r="I620" s="918"/>
      <c r="J620" s="918"/>
    </row>
    <row r="621" spans="1:10">
      <c r="A621" t="s">
        <v>4362</v>
      </c>
      <c r="B621" s="915" t="s">
        <v>3819</v>
      </c>
      <c r="C621" s="915" t="str">
        <f t="shared" si="9"/>
        <v>10월</v>
      </c>
      <c r="D621" s="916" t="s">
        <v>4351</v>
      </c>
      <c r="E621" s="916" t="s">
        <v>4294</v>
      </c>
      <c r="F621" s="916" t="s">
        <v>4295</v>
      </c>
      <c r="G621" s="915" t="s">
        <v>4296</v>
      </c>
      <c r="H621" s="917">
        <v>19000</v>
      </c>
      <c r="I621" s="918"/>
      <c r="J621" s="918"/>
    </row>
    <row r="622" spans="1:10">
      <c r="A622" t="s">
        <v>4362</v>
      </c>
      <c r="B622" s="915" t="s">
        <v>3819</v>
      </c>
      <c r="C622" s="915" t="str">
        <f t="shared" si="9"/>
        <v>10월</v>
      </c>
      <c r="D622" s="916" t="s">
        <v>4351</v>
      </c>
      <c r="E622" s="916" t="s">
        <v>4294</v>
      </c>
      <c r="F622" s="916" t="s">
        <v>4295</v>
      </c>
      <c r="G622" s="915" t="s">
        <v>4296</v>
      </c>
      <c r="H622" s="917">
        <v>19000</v>
      </c>
      <c r="I622" s="918"/>
      <c r="J622" s="918"/>
    </row>
    <row r="623" spans="1:10">
      <c r="A623" t="s">
        <v>4362</v>
      </c>
      <c r="B623" s="915" t="s">
        <v>3819</v>
      </c>
      <c r="C623" s="915" t="str">
        <f t="shared" si="9"/>
        <v>10월</v>
      </c>
      <c r="D623" s="916" t="s">
        <v>4351</v>
      </c>
      <c r="E623" s="916" t="s">
        <v>4294</v>
      </c>
      <c r="F623" s="916" t="s">
        <v>4295</v>
      </c>
      <c r="G623" s="915" t="s">
        <v>4296</v>
      </c>
      <c r="H623" s="917">
        <v>24000</v>
      </c>
      <c r="I623" s="918"/>
      <c r="J623" s="918"/>
    </row>
    <row r="624" spans="1:10">
      <c r="A624" t="s">
        <v>4362</v>
      </c>
      <c r="B624" s="915" t="s">
        <v>3819</v>
      </c>
      <c r="C624" s="915" t="str">
        <f t="shared" si="9"/>
        <v>10월</v>
      </c>
      <c r="D624" s="916" t="s">
        <v>4351</v>
      </c>
      <c r="E624" s="916" t="s">
        <v>4294</v>
      </c>
      <c r="F624" s="916" t="s">
        <v>4295</v>
      </c>
      <c r="G624" s="915" t="s">
        <v>4296</v>
      </c>
      <c r="H624" s="917">
        <v>24000</v>
      </c>
      <c r="I624" s="918"/>
      <c r="J624" s="917">
        <v>520290</v>
      </c>
    </row>
    <row r="625" spans="1:10">
      <c r="A625" t="s">
        <v>4362</v>
      </c>
      <c r="B625" s="915" t="s">
        <v>4109</v>
      </c>
      <c r="C625" s="915" t="str">
        <f t="shared" si="9"/>
        <v>10월</v>
      </c>
      <c r="D625" s="916" t="s">
        <v>4307</v>
      </c>
      <c r="E625" s="916" t="s">
        <v>4301</v>
      </c>
      <c r="F625" s="916" t="s">
        <v>4302</v>
      </c>
      <c r="G625" s="915" t="s">
        <v>4303</v>
      </c>
      <c r="H625" s="917">
        <v>1860</v>
      </c>
      <c r="I625" s="918"/>
      <c r="J625" s="917">
        <v>522150</v>
      </c>
    </row>
    <row r="626" spans="1:10">
      <c r="A626" t="s">
        <v>4362</v>
      </c>
      <c r="B626" s="915" t="s">
        <v>3828</v>
      </c>
      <c r="C626" s="915" t="str">
        <f t="shared" si="9"/>
        <v>11월</v>
      </c>
      <c r="D626" s="916" t="s">
        <v>4352</v>
      </c>
      <c r="E626" s="916"/>
      <c r="F626" s="916" t="s">
        <v>4309</v>
      </c>
      <c r="G626" s="915"/>
      <c r="H626" s="917">
        <v>2500</v>
      </c>
      <c r="I626" s="918"/>
      <c r="J626" s="917">
        <v>524650</v>
      </c>
    </row>
    <row r="627" spans="1:10">
      <c r="A627" t="s">
        <v>4362</v>
      </c>
      <c r="B627" s="915" t="s">
        <v>3618</v>
      </c>
      <c r="C627" s="915" t="str">
        <f t="shared" si="9"/>
        <v>11월</v>
      </c>
      <c r="D627" s="916" t="s">
        <v>4307</v>
      </c>
      <c r="E627" s="916" t="s">
        <v>4301</v>
      </c>
      <c r="F627" s="916" t="s">
        <v>4302</v>
      </c>
      <c r="G627" s="915" t="s">
        <v>4303</v>
      </c>
      <c r="H627" s="917">
        <v>1860</v>
      </c>
      <c r="I627" s="918"/>
      <c r="J627" s="918"/>
    </row>
    <row r="628" spans="1:10">
      <c r="A628" t="s">
        <v>4362</v>
      </c>
      <c r="B628" s="915" t="s">
        <v>3618</v>
      </c>
      <c r="C628" s="915" t="str">
        <f t="shared" si="9"/>
        <v>11월</v>
      </c>
      <c r="D628" s="916" t="s">
        <v>4307</v>
      </c>
      <c r="E628" s="916" t="s">
        <v>4301</v>
      </c>
      <c r="F628" s="916" t="s">
        <v>4302</v>
      </c>
      <c r="G628" s="915" t="s">
        <v>4303</v>
      </c>
      <c r="H628" s="917">
        <v>540</v>
      </c>
      <c r="I628" s="918"/>
      <c r="J628" s="917">
        <v>527050</v>
      </c>
    </row>
    <row r="629" spans="1:10">
      <c r="A629" t="s">
        <v>4362</v>
      </c>
      <c r="B629" s="915" t="s">
        <v>3991</v>
      </c>
      <c r="C629" s="915" t="str">
        <f t="shared" si="9"/>
        <v>11월</v>
      </c>
      <c r="D629" s="916" t="s">
        <v>4353</v>
      </c>
      <c r="E629" s="916"/>
      <c r="F629" s="916" t="s">
        <v>4354</v>
      </c>
      <c r="G629" s="915"/>
      <c r="H629" s="917">
        <v>12000</v>
      </c>
      <c r="I629" s="918"/>
      <c r="J629" s="917">
        <v>539050</v>
      </c>
    </row>
    <row r="630" spans="1:10">
      <c r="A630" t="s">
        <v>4362</v>
      </c>
      <c r="B630" s="915" t="s">
        <v>3901</v>
      </c>
      <c r="C630" s="915" t="str">
        <f t="shared" si="9"/>
        <v>11월</v>
      </c>
      <c r="D630" s="916" t="s">
        <v>4346</v>
      </c>
      <c r="E630" s="916"/>
      <c r="F630" s="916" t="s">
        <v>4305</v>
      </c>
      <c r="G630" s="915"/>
      <c r="H630" s="917">
        <v>3500</v>
      </c>
      <c r="I630" s="918"/>
      <c r="J630" s="917">
        <v>542550</v>
      </c>
    </row>
    <row r="631" spans="1:10">
      <c r="A631" t="s">
        <v>4362</v>
      </c>
      <c r="B631" s="915" t="s">
        <v>4355</v>
      </c>
      <c r="C631" s="915" t="str">
        <f t="shared" si="9"/>
        <v>12월</v>
      </c>
      <c r="D631" s="916" t="s">
        <v>4307</v>
      </c>
      <c r="E631" s="916"/>
      <c r="F631" s="916" t="s">
        <v>4305</v>
      </c>
      <c r="G631" s="915"/>
      <c r="H631" s="917">
        <v>1860</v>
      </c>
      <c r="I631" s="918"/>
      <c r="J631" s="917">
        <v>544410</v>
      </c>
    </row>
    <row r="632" spans="1:10">
      <c r="A632" t="s">
        <v>4362</v>
      </c>
      <c r="B632" s="915" t="s">
        <v>3854</v>
      </c>
      <c r="C632" s="915" t="str">
        <f t="shared" si="9"/>
        <v>12월</v>
      </c>
      <c r="D632" s="916" t="s">
        <v>4356</v>
      </c>
      <c r="E632" s="916"/>
      <c r="F632" s="916" t="s">
        <v>4357</v>
      </c>
      <c r="G632" s="915"/>
      <c r="H632" s="917">
        <v>10000</v>
      </c>
      <c r="I632" s="918"/>
      <c r="J632" s="917">
        <v>554410</v>
      </c>
    </row>
    <row r="633" spans="1:10">
      <c r="A633" t="s">
        <v>4362</v>
      </c>
      <c r="B633" s="915" t="s">
        <v>4215</v>
      </c>
      <c r="C633" s="915" t="str">
        <f t="shared" si="9"/>
        <v>12월</v>
      </c>
      <c r="D633" s="916" t="s">
        <v>4358</v>
      </c>
      <c r="E633" s="916"/>
      <c r="F633" s="916" t="s">
        <v>4359</v>
      </c>
      <c r="G633" s="915"/>
      <c r="H633" s="917">
        <v>15000</v>
      </c>
      <c r="I633" s="918"/>
      <c r="J633" s="918"/>
    </row>
    <row r="634" spans="1:10">
      <c r="A634" t="s">
        <v>4362</v>
      </c>
      <c r="B634" s="915" t="s">
        <v>4215</v>
      </c>
      <c r="C634" s="915" t="str">
        <f t="shared" si="9"/>
        <v>12월</v>
      </c>
      <c r="D634" s="916" t="s">
        <v>4358</v>
      </c>
      <c r="E634" s="916"/>
      <c r="F634" s="916" t="s">
        <v>4359</v>
      </c>
      <c r="G634" s="915"/>
      <c r="H634" s="917">
        <v>18000</v>
      </c>
      <c r="I634" s="918"/>
      <c r="J634" s="917">
        <v>587410</v>
      </c>
    </row>
    <row r="635" spans="1:10">
      <c r="A635" t="s">
        <v>4362</v>
      </c>
      <c r="B635" s="915" t="s">
        <v>4145</v>
      </c>
      <c r="C635" s="915" t="str">
        <f t="shared" si="9"/>
        <v>12월</v>
      </c>
      <c r="D635" s="916" t="s">
        <v>4307</v>
      </c>
      <c r="E635" s="916" t="s">
        <v>4301</v>
      </c>
      <c r="F635" s="916" t="s">
        <v>4302</v>
      </c>
      <c r="G635" s="915" t="s">
        <v>4303</v>
      </c>
      <c r="H635" s="917">
        <v>1950</v>
      </c>
      <c r="I635" s="918"/>
      <c r="J635" s="917">
        <v>589360</v>
      </c>
    </row>
    <row r="636" spans="1:10">
      <c r="A636" t="s">
        <v>4362</v>
      </c>
      <c r="B636" s="915" t="s">
        <v>3865</v>
      </c>
      <c r="C636" s="915" t="str">
        <f t="shared" si="9"/>
        <v>12월</v>
      </c>
      <c r="D636" s="916" t="s">
        <v>4360</v>
      </c>
      <c r="E636" s="916"/>
      <c r="F636" s="916" t="s">
        <v>4361</v>
      </c>
      <c r="G636" s="915"/>
      <c r="H636" s="917">
        <v>1500</v>
      </c>
      <c r="I636" s="918"/>
      <c r="J636" s="917">
        <v>590860</v>
      </c>
    </row>
    <row r="637" spans="1:10">
      <c r="A637" t="s">
        <v>4597</v>
      </c>
      <c r="B637" s="915" t="s">
        <v>4363</v>
      </c>
      <c r="C637" s="915" t="str">
        <f t="shared" si="9"/>
        <v>1월</v>
      </c>
      <c r="D637" s="916" t="s">
        <v>4364</v>
      </c>
      <c r="E637" s="916" t="s">
        <v>4365</v>
      </c>
      <c r="F637" s="916" t="s">
        <v>4366</v>
      </c>
      <c r="G637" s="915"/>
      <c r="H637" s="917">
        <v>31740</v>
      </c>
      <c r="I637" s="918"/>
      <c r="J637" s="917">
        <v>31740</v>
      </c>
    </row>
    <row r="638" spans="1:10">
      <c r="A638" t="s">
        <v>4597</v>
      </c>
      <c r="B638" s="915" t="s">
        <v>4367</v>
      </c>
      <c r="C638" s="915" t="str">
        <f t="shared" si="9"/>
        <v>1월</v>
      </c>
      <c r="D638" s="916" t="s">
        <v>4368</v>
      </c>
      <c r="E638" s="916" t="s">
        <v>4369</v>
      </c>
      <c r="F638" s="916" t="s">
        <v>4370</v>
      </c>
      <c r="G638" s="915"/>
      <c r="H638" s="917">
        <v>2667</v>
      </c>
      <c r="I638" s="918"/>
      <c r="J638" s="918"/>
    </row>
    <row r="639" spans="1:10">
      <c r="A639" t="s">
        <v>4597</v>
      </c>
      <c r="B639" s="915" t="s">
        <v>4367</v>
      </c>
      <c r="C639" s="915" t="str">
        <f t="shared" si="9"/>
        <v>1월</v>
      </c>
      <c r="D639" s="916" t="s">
        <v>4371</v>
      </c>
      <c r="E639" s="916" t="s">
        <v>4369</v>
      </c>
      <c r="F639" s="916" t="s">
        <v>4370</v>
      </c>
      <c r="G639" s="915"/>
      <c r="H639" s="917">
        <v>748</v>
      </c>
      <c r="I639" s="918"/>
      <c r="J639" s="918"/>
    </row>
    <row r="640" spans="1:10">
      <c r="A640" t="s">
        <v>4597</v>
      </c>
      <c r="B640" s="915" t="s">
        <v>4367</v>
      </c>
      <c r="C640" s="915" t="str">
        <f t="shared" si="9"/>
        <v>1월</v>
      </c>
      <c r="D640" s="916" t="s">
        <v>4372</v>
      </c>
      <c r="E640" s="916" t="s">
        <v>4373</v>
      </c>
      <c r="F640" s="916" t="s">
        <v>4374</v>
      </c>
      <c r="G640" s="915" t="s">
        <v>4375</v>
      </c>
      <c r="H640" s="917">
        <v>16800</v>
      </c>
      <c r="I640" s="918"/>
      <c r="J640" s="917">
        <v>51955</v>
      </c>
    </row>
    <row r="641" spans="1:10">
      <c r="A641" t="s">
        <v>4597</v>
      </c>
      <c r="B641" s="915" t="s">
        <v>4376</v>
      </c>
      <c r="C641" s="915" t="str">
        <f t="shared" si="9"/>
        <v>1월</v>
      </c>
      <c r="D641" s="916" t="s">
        <v>4377</v>
      </c>
      <c r="E641" s="916" t="s">
        <v>4365</v>
      </c>
      <c r="F641" s="916" t="s">
        <v>4366</v>
      </c>
      <c r="G641" s="915"/>
      <c r="H641" s="917">
        <v>22360</v>
      </c>
      <c r="I641" s="918"/>
      <c r="J641" s="917">
        <v>74315</v>
      </c>
    </row>
    <row r="642" spans="1:10">
      <c r="A642" t="s">
        <v>4597</v>
      </c>
      <c r="B642" s="915" t="s">
        <v>4378</v>
      </c>
      <c r="C642" s="915" t="str">
        <f t="shared" si="9"/>
        <v>1월</v>
      </c>
      <c r="D642" s="916" t="s">
        <v>4379</v>
      </c>
      <c r="E642" s="916"/>
      <c r="F642" s="916" t="s">
        <v>3241</v>
      </c>
      <c r="G642" s="915"/>
      <c r="H642" s="917">
        <v>6000</v>
      </c>
      <c r="I642" s="918"/>
      <c r="J642" s="918"/>
    </row>
    <row r="643" spans="1:10" ht="33.75">
      <c r="A643" t="s">
        <v>4597</v>
      </c>
      <c r="B643" s="915" t="s">
        <v>4378</v>
      </c>
      <c r="C643" s="915" t="str">
        <f t="shared" ref="C643:C706" si="10">MONTH(B643)&amp;"월"</f>
        <v>1월</v>
      </c>
      <c r="D643" s="916" t="s">
        <v>4380</v>
      </c>
      <c r="E643" s="916" t="s">
        <v>4381</v>
      </c>
      <c r="F643" s="916" t="s">
        <v>4382</v>
      </c>
      <c r="G643" s="915" t="s">
        <v>4383</v>
      </c>
      <c r="H643" s="917">
        <v>66000</v>
      </c>
      <c r="I643" s="918"/>
      <c r="J643" s="917">
        <v>146315</v>
      </c>
    </row>
    <row r="644" spans="1:10">
      <c r="A644" t="s">
        <v>4597</v>
      </c>
      <c r="B644" s="915" t="s">
        <v>3632</v>
      </c>
      <c r="C644" s="915" t="str">
        <f t="shared" si="10"/>
        <v>1월</v>
      </c>
      <c r="D644" s="916" t="s">
        <v>4379</v>
      </c>
      <c r="E644" s="916"/>
      <c r="F644" s="916" t="s">
        <v>3194</v>
      </c>
      <c r="G644" s="915"/>
      <c r="H644" s="917">
        <v>2000</v>
      </c>
      <c r="I644" s="918"/>
      <c r="J644" s="918"/>
    </row>
    <row r="645" spans="1:10">
      <c r="A645" t="s">
        <v>4597</v>
      </c>
      <c r="B645" s="915" t="s">
        <v>3632</v>
      </c>
      <c r="C645" s="915" t="str">
        <f t="shared" si="10"/>
        <v>1월</v>
      </c>
      <c r="D645" s="916" t="s">
        <v>4379</v>
      </c>
      <c r="E645" s="916"/>
      <c r="F645" s="916" t="s">
        <v>3195</v>
      </c>
      <c r="G645" s="915"/>
      <c r="H645" s="917">
        <v>4000</v>
      </c>
      <c r="I645" s="918"/>
      <c r="J645" s="918"/>
    </row>
    <row r="646" spans="1:10">
      <c r="A646" t="s">
        <v>4597</v>
      </c>
      <c r="B646" s="915" t="s">
        <v>3632</v>
      </c>
      <c r="C646" s="915" t="str">
        <f t="shared" si="10"/>
        <v>1월</v>
      </c>
      <c r="D646" s="916" t="s">
        <v>4379</v>
      </c>
      <c r="E646" s="916"/>
      <c r="F646" s="916" t="s">
        <v>3208</v>
      </c>
      <c r="G646" s="915"/>
      <c r="H646" s="917">
        <v>2000</v>
      </c>
      <c r="I646" s="918"/>
      <c r="J646" s="918"/>
    </row>
    <row r="647" spans="1:10">
      <c r="A647" t="s">
        <v>4597</v>
      </c>
      <c r="B647" s="915" t="s">
        <v>3632</v>
      </c>
      <c r="C647" s="915" t="str">
        <f t="shared" si="10"/>
        <v>1월</v>
      </c>
      <c r="D647" s="916" t="s">
        <v>4379</v>
      </c>
      <c r="E647" s="916"/>
      <c r="F647" s="916" t="s">
        <v>3197</v>
      </c>
      <c r="G647" s="915"/>
      <c r="H647" s="917">
        <v>2000</v>
      </c>
      <c r="I647" s="918"/>
      <c r="J647" s="918"/>
    </row>
    <row r="648" spans="1:10">
      <c r="A648" t="s">
        <v>4597</v>
      </c>
      <c r="B648" s="915" t="s">
        <v>3632</v>
      </c>
      <c r="C648" s="915" t="str">
        <f t="shared" si="10"/>
        <v>1월</v>
      </c>
      <c r="D648" s="916" t="s">
        <v>4384</v>
      </c>
      <c r="E648" s="916" t="s">
        <v>4365</v>
      </c>
      <c r="F648" s="916" t="s">
        <v>4366</v>
      </c>
      <c r="G648" s="915"/>
      <c r="H648" s="917">
        <v>7520</v>
      </c>
      <c r="I648" s="918"/>
      <c r="J648" s="918"/>
    </row>
    <row r="649" spans="1:10">
      <c r="A649" t="s">
        <v>4597</v>
      </c>
      <c r="B649" s="915" t="s">
        <v>3632</v>
      </c>
      <c r="C649" s="915" t="str">
        <f t="shared" si="10"/>
        <v>1월</v>
      </c>
      <c r="D649" s="916" t="s">
        <v>4385</v>
      </c>
      <c r="E649" s="916"/>
      <c r="F649" s="916" t="s">
        <v>4386</v>
      </c>
      <c r="G649" s="915"/>
      <c r="H649" s="917">
        <v>24000</v>
      </c>
      <c r="I649" s="918"/>
      <c r="J649" s="917">
        <v>187835</v>
      </c>
    </row>
    <row r="650" spans="1:10">
      <c r="A650" t="s">
        <v>4597</v>
      </c>
      <c r="B650" s="915" t="s">
        <v>4129</v>
      </c>
      <c r="C650" s="915" t="str">
        <f t="shared" si="10"/>
        <v>1월</v>
      </c>
      <c r="D650" s="916" t="s">
        <v>4387</v>
      </c>
      <c r="E650" s="916"/>
      <c r="F650" s="916" t="s">
        <v>4305</v>
      </c>
      <c r="G650" s="915"/>
      <c r="H650" s="917">
        <v>2000</v>
      </c>
      <c r="I650" s="918"/>
      <c r="J650" s="918"/>
    </row>
    <row r="651" spans="1:10">
      <c r="A651" t="s">
        <v>4597</v>
      </c>
      <c r="B651" s="915" t="s">
        <v>4129</v>
      </c>
      <c r="C651" s="915" t="str">
        <f t="shared" si="10"/>
        <v>1월</v>
      </c>
      <c r="D651" s="916" t="s">
        <v>4387</v>
      </c>
      <c r="E651" s="916"/>
      <c r="F651" s="916" t="s">
        <v>3193</v>
      </c>
      <c r="G651" s="915"/>
      <c r="H651" s="917">
        <v>2000</v>
      </c>
      <c r="I651" s="918"/>
      <c r="J651" s="918"/>
    </row>
    <row r="652" spans="1:10">
      <c r="A652" t="s">
        <v>4597</v>
      </c>
      <c r="B652" s="915" t="s">
        <v>4129</v>
      </c>
      <c r="C652" s="915" t="str">
        <f t="shared" si="10"/>
        <v>1월</v>
      </c>
      <c r="D652" s="916" t="s">
        <v>4387</v>
      </c>
      <c r="E652" s="916"/>
      <c r="F652" s="916" t="s">
        <v>4388</v>
      </c>
      <c r="G652" s="915"/>
      <c r="H652" s="917">
        <v>2000</v>
      </c>
      <c r="I652" s="918"/>
      <c r="J652" s="917">
        <v>193835</v>
      </c>
    </row>
    <row r="653" spans="1:10">
      <c r="A653" t="s">
        <v>4597</v>
      </c>
      <c r="B653" s="915" t="s">
        <v>3640</v>
      </c>
      <c r="C653" s="915" t="str">
        <f t="shared" si="10"/>
        <v>1월</v>
      </c>
      <c r="D653" s="916" t="s">
        <v>4389</v>
      </c>
      <c r="E653" s="916" t="s">
        <v>4390</v>
      </c>
      <c r="F653" s="916" t="s">
        <v>4391</v>
      </c>
      <c r="G653" s="915" t="s">
        <v>4392</v>
      </c>
      <c r="H653" s="917">
        <v>451000</v>
      </c>
      <c r="I653" s="918"/>
      <c r="J653" s="918"/>
    </row>
    <row r="654" spans="1:10">
      <c r="A654" t="s">
        <v>4597</v>
      </c>
      <c r="B654" s="915" t="s">
        <v>3640</v>
      </c>
      <c r="C654" s="915" t="str">
        <f t="shared" si="10"/>
        <v>1월</v>
      </c>
      <c r="D654" s="916" t="s">
        <v>4393</v>
      </c>
      <c r="E654" s="916"/>
      <c r="F654" s="916"/>
      <c r="G654" s="915"/>
      <c r="H654" s="917">
        <v>-26260</v>
      </c>
      <c r="I654" s="918"/>
      <c r="J654" s="917">
        <v>618575</v>
      </c>
    </row>
    <row r="655" spans="1:10">
      <c r="A655" t="s">
        <v>4597</v>
      </c>
      <c r="B655" s="915" t="s">
        <v>3926</v>
      </c>
      <c r="C655" s="915" t="str">
        <f t="shared" si="10"/>
        <v>1월</v>
      </c>
      <c r="D655" s="916" t="s">
        <v>4394</v>
      </c>
      <c r="E655" s="916" t="s">
        <v>4369</v>
      </c>
      <c r="F655" s="916" t="s">
        <v>4370</v>
      </c>
      <c r="G655" s="915"/>
      <c r="H655" s="917">
        <v>374</v>
      </c>
      <c r="I655" s="918"/>
      <c r="J655" s="918"/>
    </row>
    <row r="656" spans="1:10">
      <c r="A656" t="s">
        <v>4597</v>
      </c>
      <c r="B656" s="915" t="s">
        <v>3926</v>
      </c>
      <c r="C656" s="915" t="str">
        <f t="shared" si="10"/>
        <v>1월</v>
      </c>
      <c r="D656" s="916" t="s">
        <v>4395</v>
      </c>
      <c r="E656" s="916" t="s">
        <v>4365</v>
      </c>
      <c r="F656" s="916" t="s">
        <v>4366</v>
      </c>
      <c r="G656" s="915"/>
      <c r="H656" s="917">
        <v>1440</v>
      </c>
      <c r="I656" s="918"/>
      <c r="J656" s="917">
        <v>620389</v>
      </c>
    </row>
    <row r="657" spans="1:10">
      <c r="A657" t="s">
        <v>4597</v>
      </c>
      <c r="B657" s="915" t="s">
        <v>3643</v>
      </c>
      <c r="C657" s="915" t="str">
        <f t="shared" si="10"/>
        <v>1월</v>
      </c>
      <c r="D657" s="916" t="s">
        <v>4395</v>
      </c>
      <c r="E657" s="916" t="s">
        <v>4365</v>
      </c>
      <c r="F657" s="916" t="s">
        <v>4366</v>
      </c>
      <c r="G657" s="915"/>
      <c r="H657" s="917">
        <v>216760</v>
      </c>
      <c r="I657" s="918"/>
      <c r="J657" s="917">
        <v>837149</v>
      </c>
    </row>
    <row r="658" spans="1:10">
      <c r="A658" t="s">
        <v>4597</v>
      </c>
      <c r="B658" s="915" t="s">
        <v>3649</v>
      </c>
      <c r="C658" s="915" t="str">
        <f t="shared" si="10"/>
        <v>1월</v>
      </c>
      <c r="D658" s="916" t="s">
        <v>4396</v>
      </c>
      <c r="E658" s="916"/>
      <c r="F658" s="916"/>
      <c r="G658" s="915"/>
      <c r="H658" s="917">
        <v>-16040</v>
      </c>
      <c r="I658" s="918"/>
      <c r="J658" s="918"/>
    </row>
    <row r="659" spans="1:10">
      <c r="A659" t="s">
        <v>4597</v>
      </c>
      <c r="B659" s="915" t="s">
        <v>3649</v>
      </c>
      <c r="C659" s="915" t="str">
        <f t="shared" si="10"/>
        <v>1월</v>
      </c>
      <c r="D659" s="916" t="s">
        <v>4397</v>
      </c>
      <c r="E659" s="916" t="s">
        <v>4160</v>
      </c>
      <c r="F659" s="916" t="s">
        <v>4161</v>
      </c>
      <c r="G659" s="915" t="s">
        <v>4162</v>
      </c>
      <c r="H659" s="917">
        <v>-150320</v>
      </c>
      <c r="I659" s="918"/>
      <c r="J659" s="918"/>
    </row>
    <row r="660" spans="1:10">
      <c r="A660" t="s">
        <v>4597</v>
      </c>
      <c r="B660" s="915" t="s">
        <v>3649</v>
      </c>
      <c r="C660" s="915" t="str">
        <f t="shared" si="10"/>
        <v>1월</v>
      </c>
      <c r="D660" s="916" t="s">
        <v>4398</v>
      </c>
      <c r="E660" s="916" t="s">
        <v>4164</v>
      </c>
      <c r="F660" s="916" t="s">
        <v>4165</v>
      </c>
      <c r="G660" s="915" t="s">
        <v>4166</v>
      </c>
      <c r="H660" s="917">
        <v>-150320</v>
      </c>
      <c r="I660" s="918"/>
      <c r="J660" s="918"/>
    </row>
    <row r="661" spans="1:10">
      <c r="A661" t="s">
        <v>4597</v>
      </c>
      <c r="B661" s="915" t="s">
        <v>3649</v>
      </c>
      <c r="C661" s="915" t="str">
        <f t="shared" si="10"/>
        <v>1월</v>
      </c>
      <c r="D661" s="916" t="s">
        <v>4399</v>
      </c>
      <c r="E661" s="916" t="s">
        <v>4400</v>
      </c>
      <c r="F661" s="916" t="s">
        <v>4401</v>
      </c>
      <c r="G661" s="915"/>
      <c r="H661" s="917">
        <v>240</v>
      </c>
      <c r="I661" s="918"/>
      <c r="J661" s="917">
        <v>520709</v>
      </c>
    </row>
    <row r="662" spans="1:10">
      <c r="A662" t="s">
        <v>4597</v>
      </c>
      <c r="B662" s="915" t="s">
        <v>3596</v>
      </c>
      <c r="C662" s="915" t="str">
        <f t="shared" si="10"/>
        <v>2월</v>
      </c>
      <c r="D662" s="916" t="s">
        <v>4395</v>
      </c>
      <c r="E662" s="916" t="s">
        <v>4365</v>
      </c>
      <c r="F662" s="916" t="s">
        <v>4366</v>
      </c>
      <c r="G662" s="915"/>
      <c r="H662" s="917">
        <v>29580</v>
      </c>
      <c r="I662" s="918"/>
      <c r="J662" s="918"/>
    </row>
    <row r="663" spans="1:10">
      <c r="A663" t="s">
        <v>4597</v>
      </c>
      <c r="B663" s="915" t="s">
        <v>3596</v>
      </c>
      <c r="C663" s="915" t="str">
        <f t="shared" si="10"/>
        <v>2월</v>
      </c>
      <c r="D663" s="916" t="s">
        <v>4402</v>
      </c>
      <c r="E663" s="916" t="s">
        <v>4390</v>
      </c>
      <c r="F663" s="916" t="s">
        <v>4391</v>
      </c>
      <c r="G663" s="915" t="s">
        <v>4392</v>
      </c>
      <c r="H663" s="917">
        <v>11000</v>
      </c>
      <c r="I663" s="918"/>
      <c r="J663" s="917">
        <v>561289</v>
      </c>
    </row>
    <row r="664" spans="1:10">
      <c r="A664" t="s">
        <v>4597</v>
      </c>
      <c r="B664" s="915" t="s">
        <v>4403</v>
      </c>
      <c r="C664" s="915" t="str">
        <f t="shared" si="10"/>
        <v>2월</v>
      </c>
      <c r="D664" s="916" t="s">
        <v>4404</v>
      </c>
      <c r="E664" s="916" t="s">
        <v>4400</v>
      </c>
      <c r="F664" s="916" t="s">
        <v>4401</v>
      </c>
      <c r="G664" s="915"/>
      <c r="H664" s="917">
        <v>240</v>
      </c>
      <c r="I664" s="918"/>
      <c r="J664" s="917">
        <v>561529</v>
      </c>
    </row>
    <row r="665" spans="1:10">
      <c r="A665" t="s">
        <v>4597</v>
      </c>
      <c r="B665" s="915" t="s">
        <v>3601</v>
      </c>
      <c r="C665" s="915" t="str">
        <f t="shared" si="10"/>
        <v>2월</v>
      </c>
      <c r="D665" s="916" t="s">
        <v>4394</v>
      </c>
      <c r="E665" s="916" t="s">
        <v>4369</v>
      </c>
      <c r="F665" s="916" t="s">
        <v>4370</v>
      </c>
      <c r="G665" s="915"/>
      <c r="H665" s="917">
        <v>1507</v>
      </c>
      <c r="I665" s="918"/>
      <c r="J665" s="918"/>
    </row>
    <row r="666" spans="1:10">
      <c r="A666" t="s">
        <v>4597</v>
      </c>
      <c r="B666" s="915" t="s">
        <v>3601</v>
      </c>
      <c r="C666" s="915" t="str">
        <f t="shared" si="10"/>
        <v>2월</v>
      </c>
      <c r="D666" s="916" t="s">
        <v>4395</v>
      </c>
      <c r="E666" s="916" t="s">
        <v>4365</v>
      </c>
      <c r="F666" s="916" t="s">
        <v>4366</v>
      </c>
      <c r="G666" s="915"/>
      <c r="H666" s="917">
        <v>25880</v>
      </c>
      <c r="I666" s="918"/>
      <c r="J666" s="917">
        <v>588916</v>
      </c>
    </row>
    <row r="667" spans="1:10">
      <c r="A667" t="s">
        <v>4597</v>
      </c>
      <c r="B667" s="915" t="s">
        <v>3667</v>
      </c>
      <c r="C667" s="915" t="str">
        <f t="shared" si="10"/>
        <v>2월</v>
      </c>
      <c r="D667" s="916" t="s">
        <v>4405</v>
      </c>
      <c r="E667" s="916" t="s">
        <v>4256</v>
      </c>
      <c r="F667" s="916" t="s">
        <v>4257</v>
      </c>
      <c r="G667" s="915"/>
      <c r="H667" s="917">
        <v>2000</v>
      </c>
      <c r="I667" s="918"/>
      <c r="J667" s="918"/>
    </row>
    <row r="668" spans="1:10">
      <c r="A668" t="s">
        <v>4597</v>
      </c>
      <c r="B668" s="915" t="s">
        <v>3667</v>
      </c>
      <c r="C668" s="915" t="str">
        <f t="shared" si="10"/>
        <v>2월</v>
      </c>
      <c r="D668" s="916" t="s">
        <v>4406</v>
      </c>
      <c r="E668" s="916" t="s">
        <v>4256</v>
      </c>
      <c r="F668" s="916" t="s">
        <v>4257</v>
      </c>
      <c r="G668" s="915"/>
      <c r="H668" s="917">
        <v>1600</v>
      </c>
      <c r="I668" s="918"/>
      <c r="J668" s="917">
        <v>592516</v>
      </c>
    </row>
    <row r="669" spans="1:10">
      <c r="A669" t="s">
        <v>4597</v>
      </c>
      <c r="B669" s="915" t="s">
        <v>4069</v>
      </c>
      <c r="C669" s="915" t="str">
        <f t="shared" si="10"/>
        <v>2월</v>
      </c>
      <c r="D669" s="916" t="s">
        <v>4372</v>
      </c>
      <c r="E669" s="916" t="s">
        <v>4373</v>
      </c>
      <c r="F669" s="916" t="s">
        <v>4374</v>
      </c>
      <c r="G669" s="915" t="s">
        <v>4375</v>
      </c>
      <c r="H669" s="917">
        <v>35000</v>
      </c>
      <c r="I669" s="918"/>
      <c r="J669" s="917">
        <v>627516</v>
      </c>
    </row>
    <row r="670" spans="1:10">
      <c r="A670" t="s">
        <v>4597</v>
      </c>
      <c r="B670" s="915" t="s">
        <v>4407</v>
      </c>
      <c r="C670" s="915" t="str">
        <f t="shared" si="10"/>
        <v>2월</v>
      </c>
      <c r="D670" s="916" t="s">
        <v>4395</v>
      </c>
      <c r="E670" s="916" t="s">
        <v>4365</v>
      </c>
      <c r="F670" s="916" t="s">
        <v>4366</v>
      </c>
      <c r="G670" s="915"/>
      <c r="H670" s="917">
        <v>22600</v>
      </c>
      <c r="I670" s="918"/>
      <c r="J670" s="917">
        <v>650116</v>
      </c>
    </row>
    <row r="671" spans="1:10" ht="33.75">
      <c r="A671" t="s">
        <v>4597</v>
      </c>
      <c r="B671" s="915" t="s">
        <v>3676</v>
      </c>
      <c r="C671" s="915" t="str">
        <f t="shared" si="10"/>
        <v>2월</v>
      </c>
      <c r="D671" s="916" t="s">
        <v>4380</v>
      </c>
      <c r="E671" s="916" t="s">
        <v>4381</v>
      </c>
      <c r="F671" s="916" t="s">
        <v>4382</v>
      </c>
      <c r="G671" s="915" t="s">
        <v>4383</v>
      </c>
      <c r="H671" s="917">
        <v>70180</v>
      </c>
      <c r="I671" s="918"/>
      <c r="J671" s="917">
        <v>720296</v>
      </c>
    </row>
    <row r="672" spans="1:10">
      <c r="A672" t="s">
        <v>4597</v>
      </c>
      <c r="B672" s="915" t="s">
        <v>3678</v>
      </c>
      <c r="C672" s="915" t="str">
        <f t="shared" si="10"/>
        <v>2월</v>
      </c>
      <c r="D672" s="916" t="s">
        <v>4395</v>
      </c>
      <c r="E672" s="916" t="s">
        <v>4365</v>
      </c>
      <c r="F672" s="916" t="s">
        <v>4366</v>
      </c>
      <c r="G672" s="915"/>
      <c r="H672" s="917">
        <v>7520</v>
      </c>
      <c r="I672" s="918"/>
      <c r="J672" s="917">
        <v>727816</v>
      </c>
    </row>
    <row r="673" spans="1:10">
      <c r="A673" t="s">
        <v>4597</v>
      </c>
      <c r="B673" s="915" t="s">
        <v>4167</v>
      </c>
      <c r="C673" s="915" t="str">
        <f t="shared" si="10"/>
        <v>2월</v>
      </c>
      <c r="D673" s="916" t="s">
        <v>4408</v>
      </c>
      <c r="E673" s="916"/>
      <c r="F673" s="916" t="s">
        <v>4409</v>
      </c>
      <c r="G673" s="915"/>
      <c r="H673" s="917">
        <v>30000</v>
      </c>
      <c r="I673" s="918"/>
      <c r="J673" s="918"/>
    </row>
    <row r="674" spans="1:10">
      <c r="A674" t="s">
        <v>4597</v>
      </c>
      <c r="B674" s="915" t="s">
        <v>4167</v>
      </c>
      <c r="C674" s="915" t="str">
        <f t="shared" si="10"/>
        <v>2월</v>
      </c>
      <c r="D674" s="916" t="s">
        <v>4408</v>
      </c>
      <c r="E674" s="916"/>
      <c r="F674" s="916" t="s">
        <v>4410</v>
      </c>
      <c r="G674" s="915"/>
      <c r="H674" s="917">
        <v>20000</v>
      </c>
      <c r="I674" s="918"/>
      <c r="J674" s="918"/>
    </row>
    <row r="675" spans="1:10">
      <c r="A675" t="s">
        <v>4597</v>
      </c>
      <c r="B675" s="915" t="s">
        <v>4167</v>
      </c>
      <c r="C675" s="915" t="str">
        <f t="shared" si="10"/>
        <v>2월</v>
      </c>
      <c r="D675" s="916" t="s">
        <v>4389</v>
      </c>
      <c r="E675" s="916" t="s">
        <v>4390</v>
      </c>
      <c r="F675" s="916" t="s">
        <v>4391</v>
      </c>
      <c r="G675" s="915" t="s">
        <v>4392</v>
      </c>
      <c r="H675" s="917">
        <v>451000</v>
      </c>
      <c r="I675" s="918"/>
      <c r="J675" s="917">
        <v>1228816</v>
      </c>
    </row>
    <row r="676" spans="1:10">
      <c r="A676" t="s">
        <v>4597</v>
      </c>
      <c r="B676" s="915" t="s">
        <v>3680</v>
      </c>
      <c r="C676" s="915" t="str">
        <f t="shared" si="10"/>
        <v>2월</v>
      </c>
      <c r="D676" s="916" t="s">
        <v>4408</v>
      </c>
      <c r="E676" s="916"/>
      <c r="F676" s="916" t="s">
        <v>4411</v>
      </c>
      <c r="G676" s="915"/>
      <c r="H676" s="917">
        <v>20000</v>
      </c>
      <c r="I676" s="918"/>
      <c r="J676" s="917">
        <v>1248816</v>
      </c>
    </row>
    <row r="677" spans="1:10">
      <c r="A677" t="s">
        <v>4597</v>
      </c>
      <c r="B677" s="915" t="s">
        <v>3685</v>
      </c>
      <c r="C677" s="915" t="str">
        <f t="shared" si="10"/>
        <v>2월</v>
      </c>
      <c r="D677" s="916" t="s">
        <v>4412</v>
      </c>
      <c r="E677" s="916"/>
      <c r="F677" s="916"/>
      <c r="G677" s="915"/>
      <c r="H677" s="917">
        <v>-20640</v>
      </c>
      <c r="I677" s="918"/>
      <c r="J677" s="918"/>
    </row>
    <row r="678" spans="1:10">
      <c r="A678" t="s">
        <v>4597</v>
      </c>
      <c r="B678" s="915" t="s">
        <v>3685</v>
      </c>
      <c r="C678" s="915" t="str">
        <f t="shared" si="10"/>
        <v>2월</v>
      </c>
      <c r="D678" s="916" t="s">
        <v>4408</v>
      </c>
      <c r="E678" s="916"/>
      <c r="F678" s="916" t="s">
        <v>4413</v>
      </c>
      <c r="G678" s="915"/>
      <c r="H678" s="917">
        <v>30000</v>
      </c>
      <c r="I678" s="918"/>
      <c r="J678" s="917">
        <v>1258176</v>
      </c>
    </row>
    <row r="679" spans="1:10">
      <c r="A679" t="s">
        <v>4597</v>
      </c>
      <c r="B679" s="915" t="s">
        <v>4236</v>
      </c>
      <c r="C679" s="915" t="str">
        <f t="shared" si="10"/>
        <v>2월</v>
      </c>
      <c r="D679" s="916" t="s">
        <v>4395</v>
      </c>
      <c r="E679" s="916" t="s">
        <v>4365</v>
      </c>
      <c r="F679" s="916" t="s">
        <v>4366</v>
      </c>
      <c r="G679" s="915"/>
      <c r="H679" s="917">
        <v>1440</v>
      </c>
      <c r="I679" s="918"/>
      <c r="J679" s="917">
        <v>1259616</v>
      </c>
    </row>
    <row r="680" spans="1:10">
      <c r="A680" t="s">
        <v>4597</v>
      </c>
      <c r="B680" s="915" t="s">
        <v>4011</v>
      </c>
      <c r="C680" s="915" t="str">
        <f t="shared" si="10"/>
        <v>2월</v>
      </c>
      <c r="D680" s="916" t="s">
        <v>4394</v>
      </c>
      <c r="E680" s="916" t="s">
        <v>4369</v>
      </c>
      <c r="F680" s="916" t="s">
        <v>4370</v>
      </c>
      <c r="G680" s="915"/>
      <c r="H680" s="917">
        <v>737</v>
      </c>
      <c r="I680" s="918"/>
      <c r="J680" s="918"/>
    </row>
    <row r="681" spans="1:10">
      <c r="A681" t="s">
        <v>4597</v>
      </c>
      <c r="B681" s="915" t="s">
        <v>4011</v>
      </c>
      <c r="C681" s="915" t="str">
        <f t="shared" si="10"/>
        <v>2월</v>
      </c>
      <c r="D681" s="916" t="s">
        <v>4414</v>
      </c>
      <c r="E681" s="916" t="s">
        <v>4256</v>
      </c>
      <c r="F681" s="916" t="s">
        <v>4257</v>
      </c>
      <c r="G681" s="915"/>
      <c r="H681" s="917">
        <v>4400</v>
      </c>
      <c r="I681" s="918"/>
      <c r="J681" s="917">
        <v>1264753</v>
      </c>
    </row>
    <row r="682" spans="1:10">
      <c r="A682" t="s">
        <v>4597</v>
      </c>
      <c r="B682" s="915" t="s">
        <v>3604</v>
      </c>
      <c r="C682" s="915" t="str">
        <f t="shared" si="10"/>
        <v>2월</v>
      </c>
      <c r="D682" s="916" t="s">
        <v>4408</v>
      </c>
      <c r="E682" s="916"/>
      <c r="F682" s="916" t="s">
        <v>4415</v>
      </c>
      <c r="G682" s="915"/>
      <c r="H682" s="917">
        <v>20000</v>
      </c>
      <c r="I682" s="918"/>
      <c r="J682" s="918"/>
    </row>
    <row r="683" spans="1:10">
      <c r="A683" t="s">
        <v>4597</v>
      </c>
      <c r="B683" s="915" t="s">
        <v>3604</v>
      </c>
      <c r="C683" s="915" t="str">
        <f t="shared" si="10"/>
        <v>2월</v>
      </c>
      <c r="D683" s="916" t="s">
        <v>4416</v>
      </c>
      <c r="E683" s="916"/>
      <c r="F683" s="916" t="s">
        <v>4417</v>
      </c>
      <c r="G683" s="915"/>
      <c r="H683" s="917">
        <v>755</v>
      </c>
      <c r="I683" s="918"/>
      <c r="J683" s="917">
        <v>1285508</v>
      </c>
    </row>
    <row r="684" spans="1:10">
      <c r="A684" t="s">
        <v>4597</v>
      </c>
      <c r="B684" s="915" t="s">
        <v>3687</v>
      </c>
      <c r="C684" s="915" t="str">
        <f t="shared" si="10"/>
        <v>2월</v>
      </c>
      <c r="D684" s="916" t="s">
        <v>4395</v>
      </c>
      <c r="E684" s="916" t="s">
        <v>4365</v>
      </c>
      <c r="F684" s="916" t="s">
        <v>4366</v>
      </c>
      <c r="G684" s="915"/>
      <c r="H684" s="917">
        <v>214720</v>
      </c>
      <c r="I684" s="918"/>
      <c r="J684" s="917">
        <v>1500228</v>
      </c>
    </row>
    <row r="685" spans="1:10">
      <c r="A685" t="s">
        <v>4597</v>
      </c>
      <c r="B685" s="915" t="s">
        <v>4418</v>
      </c>
      <c r="C685" s="915" t="str">
        <f t="shared" si="10"/>
        <v>3월</v>
      </c>
      <c r="D685" s="916" t="s">
        <v>4395</v>
      </c>
      <c r="E685" s="916" t="s">
        <v>4365</v>
      </c>
      <c r="F685" s="916" t="s">
        <v>4366</v>
      </c>
      <c r="G685" s="915"/>
      <c r="H685" s="917">
        <v>28820</v>
      </c>
      <c r="I685" s="918"/>
      <c r="J685" s="918"/>
    </row>
    <row r="686" spans="1:10">
      <c r="A686" t="s">
        <v>4597</v>
      </c>
      <c r="B686" s="915" t="s">
        <v>4418</v>
      </c>
      <c r="C686" s="915" t="str">
        <f t="shared" si="10"/>
        <v>3월</v>
      </c>
      <c r="D686" s="916" t="s">
        <v>4419</v>
      </c>
      <c r="E686" s="916" t="s">
        <v>4390</v>
      </c>
      <c r="F686" s="916" t="s">
        <v>4391</v>
      </c>
      <c r="G686" s="915" t="s">
        <v>4392</v>
      </c>
      <c r="H686" s="917">
        <v>-150320</v>
      </c>
      <c r="I686" s="918"/>
      <c r="J686" s="917">
        <v>1378728</v>
      </c>
    </row>
    <row r="687" spans="1:10">
      <c r="A687" t="s">
        <v>4597</v>
      </c>
      <c r="B687" s="915" t="s">
        <v>4133</v>
      </c>
      <c r="C687" s="915" t="str">
        <f t="shared" si="10"/>
        <v>3월</v>
      </c>
      <c r="D687" s="916" t="s">
        <v>4420</v>
      </c>
      <c r="E687" s="916" t="s">
        <v>4164</v>
      </c>
      <c r="F687" s="916" t="s">
        <v>4165</v>
      </c>
      <c r="G687" s="915" t="s">
        <v>4166</v>
      </c>
      <c r="H687" s="917">
        <v>-150320</v>
      </c>
      <c r="I687" s="918"/>
      <c r="J687" s="917">
        <v>1228408</v>
      </c>
    </row>
    <row r="688" spans="1:10">
      <c r="A688" t="s">
        <v>4597</v>
      </c>
      <c r="B688" s="915" t="s">
        <v>4017</v>
      </c>
      <c r="C688" s="915" t="str">
        <f t="shared" si="10"/>
        <v>3월</v>
      </c>
      <c r="D688" s="916" t="s">
        <v>4421</v>
      </c>
      <c r="E688" s="916" t="s">
        <v>4400</v>
      </c>
      <c r="F688" s="916" t="s">
        <v>4401</v>
      </c>
      <c r="G688" s="915"/>
      <c r="H688" s="917">
        <v>240</v>
      </c>
      <c r="I688" s="918"/>
      <c r="J688" s="917">
        <v>1228648</v>
      </c>
    </row>
    <row r="689" spans="1:10">
      <c r="A689" t="s">
        <v>4597</v>
      </c>
      <c r="B689" s="915" t="s">
        <v>4019</v>
      </c>
      <c r="C689" s="915" t="str">
        <f t="shared" si="10"/>
        <v>3월</v>
      </c>
      <c r="D689" s="916" t="s">
        <v>4412</v>
      </c>
      <c r="E689" s="916"/>
      <c r="F689" s="916"/>
      <c r="G689" s="915"/>
      <c r="H689" s="917">
        <v>-11120</v>
      </c>
      <c r="I689" s="918"/>
      <c r="J689" s="918"/>
    </row>
    <row r="690" spans="1:10">
      <c r="A690" t="s">
        <v>4597</v>
      </c>
      <c r="B690" s="915" t="s">
        <v>4019</v>
      </c>
      <c r="C690" s="915" t="str">
        <f t="shared" si="10"/>
        <v>3월</v>
      </c>
      <c r="D690" s="916" t="s">
        <v>4395</v>
      </c>
      <c r="E690" s="916" t="s">
        <v>4365</v>
      </c>
      <c r="F690" s="916" t="s">
        <v>4366</v>
      </c>
      <c r="G690" s="915"/>
      <c r="H690" s="917">
        <v>27400</v>
      </c>
      <c r="I690" s="918"/>
      <c r="J690" s="918"/>
    </row>
    <row r="691" spans="1:10">
      <c r="A691" t="s">
        <v>4597</v>
      </c>
      <c r="B691" s="915" t="s">
        <v>4019</v>
      </c>
      <c r="C691" s="915" t="str">
        <f t="shared" si="10"/>
        <v>3월</v>
      </c>
      <c r="D691" s="916" t="s">
        <v>4394</v>
      </c>
      <c r="E691" s="916" t="s">
        <v>4369</v>
      </c>
      <c r="F691" s="916" t="s">
        <v>4370</v>
      </c>
      <c r="G691" s="915"/>
      <c r="H691" s="917">
        <v>1507</v>
      </c>
      <c r="I691" s="918"/>
      <c r="J691" s="917">
        <v>1246435</v>
      </c>
    </row>
    <row r="692" spans="1:10">
      <c r="A692" t="s">
        <v>4597</v>
      </c>
      <c r="B692" s="915" t="s">
        <v>4422</v>
      </c>
      <c r="C692" s="915" t="str">
        <f t="shared" si="10"/>
        <v>3월</v>
      </c>
      <c r="D692" s="916" t="s">
        <v>4423</v>
      </c>
      <c r="E692" s="916"/>
      <c r="F692" s="916" t="s">
        <v>4424</v>
      </c>
      <c r="G692" s="915"/>
      <c r="H692" s="917">
        <v>2400</v>
      </c>
      <c r="I692" s="918"/>
      <c r="J692" s="918"/>
    </row>
    <row r="693" spans="1:10">
      <c r="A693" t="s">
        <v>4597</v>
      </c>
      <c r="B693" s="915" t="s">
        <v>4422</v>
      </c>
      <c r="C693" s="915" t="str">
        <f t="shared" si="10"/>
        <v>3월</v>
      </c>
      <c r="D693" s="916" t="s">
        <v>4425</v>
      </c>
      <c r="E693" s="916" t="s">
        <v>4373</v>
      </c>
      <c r="F693" s="916" t="s">
        <v>4374</v>
      </c>
      <c r="G693" s="915" t="s">
        <v>4375</v>
      </c>
      <c r="H693" s="917">
        <v>35000</v>
      </c>
      <c r="I693" s="918"/>
      <c r="J693" s="917">
        <v>1283835</v>
      </c>
    </row>
    <row r="694" spans="1:10">
      <c r="A694" t="s">
        <v>4597</v>
      </c>
      <c r="B694" s="915" t="s">
        <v>4321</v>
      </c>
      <c r="C694" s="915" t="str">
        <f t="shared" si="10"/>
        <v>3월</v>
      </c>
      <c r="D694" s="916" t="s">
        <v>4395</v>
      </c>
      <c r="E694" s="916" t="s">
        <v>4365</v>
      </c>
      <c r="F694" s="916" t="s">
        <v>4366</v>
      </c>
      <c r="G694" s="915"/>
      <c r="H694" s="917">
        <v>22460</v>
      </c>
      <c r="I694" s="918"/>
      <c r="J694" s="917">
        <v>1306295</v>
      </c>
    </row>
    <row r="695" spans="1:10">
      <c r="A695" t="s">
        <v>4597</v>
      </c>
      <c r="B695" s="915" t="s">
        <v>3696</v>
      </c>
      <c r="C695" s="915" t="str">
        <f t="shared" si="10"/>
        <v>3월</v>
      </c>
      <c r="D695" s="916" t="s">
        <v>4426</v>
      </c>
      <c r="E695" s="916"/>
      <c r="F695" s="916"/>
      <c r="G695" s="915"/>
      <c r="H695" s="917">
        <v>-22180</v>
      </c>
      <c r="I695" s="918"/>
      <c r="J695" s="917">
        <v>1284115</v>
      </c>
    </row>
    <row r="696" spans="1:10">
      <c r="A696" t="s">
        <v>4597</v>
      </c>
      <c r="B696" s="915" t="s">
        <v>4427</v>
      </c>
      <c r="C696" s="915" t="str">
        <f t="shared" si="10"/>
        <v>3월</v>
      </c>
      <c r="D696" s="916" t="s">
        <v>4408</v>
      </c>
      <c r="E696" s="916"/>
      <c r="F696" s="916" t="s">
        <v>4428</v>
      </c>
      <c r="G696" s="915"/>
      <c r="H696" s="917">
        <v>50000</v>
      </c>
      <c r="I696" s="918"/>
      <c r="J696" s="918"/>
    </row>
    <row r="697" spans="1:10">
      <c r="A697" t="s">
        <v>4597</v>
      </c>
      <c r="B697" s="915" t="s">
        <v>4427</v>
      </c>
      <c r="C697" s="915" t="str">
        <f t="shared" si="10"/>
        <v>3월</v>
      </c>
      <c r="D697" s="916" t="s">
        <v>4389</v>
      </c>
      <c r="E697" s="916" t="s">
        <v>4390</v>
      </c>
      <c r="F697" s="916" t="s">
        <v>4391</v>
      </c>
      <c r="G697" s="915" t="s">
        <v>4392</v>
      </c>
      <c r="H697" s="917">
        <v>451000</v>
      </c>
      <c r="I697" s="918"/>
      <c r="J697" s="918"/>
    </row>
    <row r="698" spans="1:10" ht="33.75">
      <c r="A698" t="s">
        <v>4597</v>
      </c>
      <c r="B698" s="915" t="s">
        <v>4427</v>
      </c>
      <c r="C698" s="915" t="str">
        <f t="shared" si="10"/>
        <v>3월</v>
      </c>
      <c r="D698" s="916" t="s">
        <v>4380</v>
      </c>
      <c r="E698" s="916" t="s">
        <v>4381</v>
      </c>
      <c r="F698" s="916" t="s">
        <v>4382</v>
      </c>
      <c r="G698" s="915" t="s">
        <v>4383</v>
      </c>
      <c r="H698" s="917">
        <v>66000</v>
      </c>
      <c r="I698" s="918"/>
      <c r="J698" s="917">
        <v>1851115</v>
      </c>
    </row>
    <row r="699" spans="1:10">
      <c r="A699" t="s">
        <v>4597</v>
      </c>
      <c r="B699" s="915" t="s">
        <v>4324</v>
      </c>
      <c r="C699" s="915" t="str">
        <f t="shared" si="10"/>
        <v>3월</v>
      </c>
      <c r="D699" s="916" t="s">
        <v>4395</v>
      </c>
      <c r="E699" s="916" t="s">
        <v>4365</v>
      </c>
      <c r="F699" s="916" t="s">
        <v>4366</v>
      </c>
      <c r="G699" s="915"/>
      <c r="H699" s="917">
        <v>7760</v>
      </c>
      <c r="I699" s="918"/>
      <c r="J699" s="917">
        <v>1858875</v>
      </c>
    </row>
    <row r="700" spans="1:10">
      <c r="A700" t="s">
        <v>4597</v>
      </c>
      <c r="B700" s="915" t="s">
        <v>3700</v>
      </c>
      <c r="C700" s="915" t="str">
        <f t="shared" si="10"/>
        <v>3월</v>
      </c>
      <c r="D700" s="916" t="s">
        <v>4429</v>
      </c>
      <c r="E700" s="916" t="s">
        <v>4430</v>
      </c>
      <c r="F700" s="916" t="s">
        <v>4431</v>
      </c>
      <c r="G700" s="915" t="s">
        <v>4432</v>
      </c>
      <c r="H700" s="917">
        <v>220000</v>
      </c>
      <c r="I700" s="918"/>
      <c r="J700" s="918"/>
    </row>
    <row r="701" spans="1:10">
      <c r="A701" t="s">
        <v>4597</v>
      </c>
      <c r="B701" s="915" t="s">
        <v>3700</v>
      </c>
      <c r="C701" s="915" t="str">
        <f t="shared" si="10"/>
        <v>3월</v>
      </c>
      <c r="D701" s="916" t="s">
        <v>4429</v>
      </c>
      <c r="E701" s="916" t="s">
        <v>4430</v>
      </c>
      <c r="F701" s="916" t="s">
        <v>4431</v>
      </c>
      <c r="G701" s="915" t="s">
        <v>4432</v>
      </c>
      <c r="H701" s="917">
        <v>209600</v>
      </c>
      <c r="I701" s="918"/>
      <c r="J701" s="918"/>
    </row>
    <row r="702" spans="1:10">
      <c r="A702" t="s">
        <v>4597</v>
      </c>
      <c r="B702" s="915" t="s">
        <v>3700</v>
      </c>
      <c r="C702" s="915" t="str">
        <f t="shared" si="10"/>
        <v>3월</v>
      </c>
      <c r="D702" s="916" t="s">
        <v>4433</v>
      </c>
      <c r="E702" s="916"/>
      <c r="F702" s="916" t="s">
        <v>4305</v>
      </c>
      <c r="G702" s="915"/>
      <c r="H702" s="917">
        <v>3500</v>
      </c>
      <c r="I702" s="918"/>
      <c r="J702" s="918"/>
    </row>
    <row r="703" spans="1:10">
      <c r="A703" t="s">
        <v>4597</v>
      </c>
      <c r="B703" s="915" t="s">
        <v>3700</v>
      </c>
      <c r="C703" s="915" t="str">
        <f t="shared" si="10"/>
        <v>3월</v>
      </c>
      <c r="D703" s="916" t="s">
        <v>4395</v>
      </c>
      <c r="E703" s="916" t="s">
        <v>4365</v>
      </c>
      <c r="F703" s="916" t="s">
        <v>4366</v>
      </c>
      <c r="G703" s="915"/>
      <c r="H703" s="917">
        <v>1180</v>
      </c>
      <c r="I703" s="918"/>
      <c r="J703" s="917">
        <v>2293155</v>
      </c>
    </row>
    <row r="704" spans="1:10">
      <c r="A704" t="s">
        <v>4597</v>
      </c>
      <c r="B704" s="915" t="s">
        <v>3705</v>
      </c>
      <c r="C704" s="915" t="str">
        <f t="shared" si="10"/>
        <v>3월</v>
      </c>
      <c r="D704" s="916" t="s">
        <v>4434</v>
      </c>
      <c r="E704" s="916" t="s">
        <v>4369</v>
      </c>
      <c r="F704" s="916" t="s">
        <v>4370</v>
      </c>
      <c r="G704" s="915"/>
      <c r="H704" s="917">
        <v>2555</v>
      </c>
      <c r="I704" s="918"/>
      <c r="J704" s="918"/>
    </row>
    <row r="705" spans="1:10">
      <c r="A705" t="s">
        <v>4597</v>
      </c>
      <c r="B705" s="915" t="s">
        <v>3705</v>
      </c>
      <c r="C705" s="915" t="str">
        <f t="shared" si="10"/>
        <v>3월</v>
      </c>
      <c r="D705" s="916" t="s">
        <v>4394</v>
      </c>
      <c r="E705" s="916" t="s">
        <v>4369</v>
      </c>
      <c r="F705" s="916" t="s">
        <v>4370</v>
      </c>
      <c r="G705" s="915"/>
      <c r="H705" s="917">
        <v>737</v>
      </c>
      <c r="I705" s="918"/>
      <c r="J705" s="917">
        <v>2296447</v>
      </c>
    </row>
    <row r="706" spans="1:10">
      <c r="A706" t="s">
        <v>4597</v>
      </c>
      <c r="B706" s="915" t="s">
        <v>3878</v>
      </c>
      <c r="C706" s="915" t="str">
        <f t="shared" si="10"/>
        <v>3월</v>
      </c>
      <c r="D706" s="916" t="s">
        <v>4435</v>
      </c>
      <c r="E706" s="916"/>
      <c r="F706" s="916" t="s">
        <v>4386</v>
      </c>
      <c r="G706" s="915"/>
      <c r="H706" s="917">
        <v>10000</v>
      </c>
      <c r="I706" s="918"/>
      <c r="J706" s="918"/>
    </row>
    <row r="707" spans="1:10">
      <c r="A707" t="s">
        <v>4597</v>
      </c>
      <c r="B707" s="915" t="s">
        <v>3878</v>
      </c>
      <c r="C707" s="915" t="str">
        <f t="shared" ref="C707:C770" si="11">MONTH(B707)&amp;"월"</f>
        <v>3월</v>
      </c>
      <c r="D707" s="916" t="s">
        <v>4435</v>
      </c>
      <c r="E707" s="916"/>
      <c r="F707" s="916" t="s">
        <v>4386</v>
      </c>
      <c r="G707" s="915"/>
      <c r="H707" s="917">
        <v>5000</v>
      </c>
      <c r="I707" s="918"/>
      <c r="J707" s="917">
        <v>2311447</v>
      </c>
    </row>
    <row r="708" spans="1:10">
      <c r="A708" t="s">
        <v>4597</v>
      </c>
      <c r="B708" s="915" t="s">
        <v>3706</v>
      </c>
      <c r="C708" s="915" t="str">
        <f t="shared" si="11"/>
        <v>3월</v>
      </c>
      <c r="D708" s="916" t="s">
        <v>4395</v>
      </c>
      <c r="E708" s="916" t="s">
        <v>4365</v>
      </c>
      <c r="F708" s="916" t="s">
        <v>4366</v>
      </c>
      <c r="G708" s="915"/>
      <c r="H708" s="917">
        <v>209700</v>
      </c>
      <c r="I708" s="918"/>
      <c r="J708" s="917">
        <v>2521147</v>
      </c>
    </row>
    <row r="709" spans="1:10">
      <c r="A709" t="s">
        <v>4597</v>
      </c>
      <c r="B709" s="915" t="s">
        <v>4177</v>
      </c>
      <c r="C709" s="915" t="str">
        <f t="shared" si="11"/>
        <v>3월</v>
      </c>
      <c r="D709" s="916" t="s">
        <v>4436</v>
      </c>
      <c r="E709" s="916" t="s">
        <v>4390</v>
      </c>
      <c r="F709" s="916" t="s">
        <v>4391</v>
      </c>
      <c r="G709" s="915" t="s">
        <v>4392</v>
      </c>
      <c r="H709" s="917">
        <v>-150320</v>
      </c>
      <c r="I709" s="918"/>
      <c r="J709" s="918"/>
    </row>
    <row r="710" spans="1:10">
      <c r="A710" t="s">
        <v>4597</v>
      </c>
      <c r="B710" s="915" t="s">
        <v>4177</v>
      </c>
      <c r="C710" s="915" t="str">
        <f t="shared" si="11"/>
        <v>3월</v>
      </c>
      <c r="D710" s="916" t="s">
        <v>4437</v>
      </c>
      <c r="E710" s="916" t="s">
        <v>4390</v>
      </c>
      <c r="F710" s="916" t="s">
        <v>4391</v>
      </c>
      <c r="G710" s="915" t="s">
        <v>4392</v>
      </c>
      <c r="H710" s="917">
        <v>-150320</v>
      </c>
      <c r="I710" s="918"/>
      <c r="J710" s="918"/>
    </row>
    <row r="711" spans="1:10">
      <c r="A711" t="s">
        <v>4597</v>
      </c>
      <c r="B711" s="915" t="s">
        <v>4177</v>
      </c>
      <c r="C711" s="915" t="str">
        <f t="shared" si="11"/>
        <v>3월</v>
      </c>
      <c r="D711" s="916" t="s">
        <v>4395</v>
      </c>
      <c r="E711" s="916" t="s">
        <v>4365</v>
      </c>
      <c r="F711" s="916" t="s">
        <v>4366</v>
      </c>
      <c r="G711" s="915"/>
      <c r="H711" s="917">
        <v>28580</v>
      </c>
      <c r="I711" s="918"/>
      <c r="J711" s="918"/>
    </row>
    <row r="712" spans="1:10">
      <c r="A712" t="s">
        <v>4597</v>
      </c>
      <c r="B712" s="915" t="s">
        <v>4177</v>
      </c>
      <c r="C712" s="915" t="str">
        <f t="shared" si="11"/>
        <v>3월</v>
      </c>
      <c r="D712" s="916" t="s">
        <v>4421</v>
      </c>
      <c r="E712" s="916" t="s">
        <v>4400</v>
      </c>
      <c r="F712" s="916" t="s">
        <v>4401</v>
      </c>
      <c r="G712" s="915"/>
      <c r="H712" s="917">
        <v>240</v>
      </c>
      <c r="I712" s="918"/>
      <c r="J712" s="918"/>
    </row>
    <row r="713" spans="1:10">
      <c r="A713" t="s">
        <v>4597</v>
      </c>
      <c r="B713" s="915" t="s">
        <v>4177</v>
      </c>
      <c r="C713" s="915" t="str">
        <f t="shared" si="11"/>
        <v>3월</v>
      </c>
      <c r="D713" s="916" t="s">
        <v>4416</v>
      </c>
      <c r="E713" s="916" t="s">
        <v>4438</v>
      </c>
      <c r="F713" s="916" t="s">
        <v>4439</v>
      </c>
      <c r="G713" s="915"/>
      <c r="H713" s="917">
        <v>880</v>
      </c>
      <c r="I713" s="918"/>
      <c r="J713" s="917">
        <v>2250207</v>
      </c>
    </row>
    <row r="714" spans="1:10">
      <c r="A714" t="s">
        <v>4597</v>
      </c>
      <c r="B714" s="915" t="s">
        <v>3711</v>
      </c>
      <c r="C714" s="915" t="str">
        <f t="shared" si="11"/>
        <v>4월</v>
      </c>
      <c r="D714" s="916" t="s">
        <v>4412</v>
      </c>
      <c r="E714" s="916"/>
      <c r="F714" s="916"/>
      <c r="G714" s="915"/>
      <c r="H714" s="917">
        <v>-9640</v>
      </c>
      <c r="I714" s="918"/>
      <c r="J714" s="918"/>
    </row>
    <row r="715" spans="1:10">
      <c r="A715" t="s">
        <v>4597</v>
      </c>
      <c r="B715" s="915" t="s">
        <v>3711</v>
      </c>
      <c r="C715" s="915" t="str">
        <f t="shared" si="11"/>
        <v>4월</v>
      </c>
      <c r="D715" s="916" t="s">
        <v>4395</v>
      </c>
      <c r="E715" s="916" t="s">
        <v>4365</v>
      </c>
      <c r="F715" s="916" t="s">
        <v>4366</v>
      </c>
      <c r="G715" s="915"/>
      <c r="H715" s="917">
        <v>25960</v>
      </c>
      <c r="I715" s="918"/>
      <c r="J715" s="917">
        <v>2266527</v>
      </c>
    </row>
    <row r="716" spans="1:10">
      <c r="A716" t="s">
        <v>4597</v>
      </c>
      <c r="B716" s="915" t="s">
        <v>3714</v>
      </c>
      <c r="C716" s="915" t="str">
        <f t="shared" si="11"/>
        <v>4월</v>
      </c>
      <c r="D716" s="916" t="s">
        <v>4394</v>
      </c>
      <c r="E716" s="916" t="s">
        <v>4369</v>
      </c>
      <c r="F716" s="916" t="s">
        <v>4370</v>
      </c>
      <c r="G716" s="915"/>
      <c r="H716" s="917">
        <v>1507</v>
      </c>
      <c r="I716" s="918"/>
      <c r="J716" s="918"/>
    </row>
    <row r="717" spans="1:10">
      <c r="A717" t="s">
        <v>4597</v>
      </c>
      <c r="B717" s="915" t="s">
        <v>3714</v>
      </c>
      <c r="C717" s="915" t="str">
        <f t="shared" si="11"/>
        <v>4월</v>
      </c>
      <c r="D717" s="916" t="s">
        <v>4440</v>
      </c>
      <c r="E717" s="916" t="s">
        <v>4369</v>
      </c>
      <c r="F717" s="916" t="s">
        <v>4370</v>
      </c>
      <c r="G717" s="915"/>
      <c r="H717" s="917">
        <v>1925</v>
      </c>
      <c r="I717" s="918"/>
      <c r="J717" s="917">
        <v>2269959</v>
      </c>
    </row>
    <row r="718" spans="1:10">
      <c r="A718" t="s">
        <v>4597</v>
      </c>
      <c r="B718" s="915" t="s">
        <v>4441</v>
      </c>
      <c r="C718" s="915" t="str">
        <f t="shared" si="11"/>
        <v>4월</v>
      </c>
      <c r="D718" s="916" t="s">
        <v>4442</v>
      </c>
      <c r="E718" s="916" t="s">
        <v>4373</v>
      </c>
      <c r="F718" s="916" t="s">
        <v>4374</v>
      </c>
      <c r="G718" s="915" t="s">
        <v>4375</v>
      </c>
      <c r="H718" s="917">
        <v>35000</v>
      </c>
      <c r="I718" s="918"/>
      <c r="J718" s="917">
        <v>2304959</v>
      </c>
    </row>
    <row r="719" spans="1:10">
      <c r="A719" t="s">
        <v>4597</v>
      </c>
      <c r="B719" s="915" t="s">
        <v>3717</v>
      </c>
      <c r="C719" s="915" t="str">
        <f t="shared" si="11"/>
        <v>4월</v>
      </c>
      <c r="D719" s="916" t="s">
        <v>4395</v>
      </c>
      <c r="E719" s="916" t="s">
        <v>4365</v>
      </c>
      <c r="F719" s="916" t="s">
        <v>4366</v>
      </c>
      <c r="G719" s="915"/>
      <c r="H719" s="917">
        <v>23260</v>
      </c>
      <c r="I719" s="918"/>
      <c r="J719" s="917">
        <v>2328219</v>
      </c>
    </row>
    <row r="720" spans="1:10">
      <c r="A720" t="s">
        <v>4597</v>
      </c>
      <c r="B720" s="915" t="s">
        <v>3719</v>
      </c>
      <c r="C720" s="915" t="str">
        <f t="shared" si="11"/>
        <v>4월</v>
      </c>
      <c r="D720" s="916" t="s">
        <v>4412</v>
      </c>
      <c r="E720" s="916" t="s">
        <v>4256</v>
      </c>
      <c r="F720" s="916" t="s">
        <v>4257</v>
      </c>
      <c r="G720" s="915"/>
      <c r="H720" s="917">
        <v>-20900</v>
      </c>
      <c r="I720" s="918"/>
      <c r="J720" s="917">
        <v>2307319</v>
      </c>
    </row>
    <row r="721" spans="1:10">
      <c r="A721" t="s">
        <v>4597</v>
      </c>
      <c r="B721" s="915" t="s">
        <v>4181</v>
      </c>
      <c r="C721" s="915" t="str">
        <f t="shared" si="11"/>
        <v>4월</v>
      </c>
      <c r="D721" s="916" t="s">
        <v>4389</v>
      </c>
      <c r="E721" s="916" t="s">
        <v>4390</v>
      </c>
      <c r="F721" s="916" t="s">
        <v>4391</v>
      </c>
      <c r="G721" s="915" t="s">
        <v>4392</v>
      </c>
      <c r="H721" s="917">
        <v>451000</v>
      </c>
      <c r="I721" s="918"/>
      <c r="J721" s="918"/>
    </row>
    <row r="722" spans="1:10" ht="33.75">
      <c r="A722" t="s">
        <v>4597</v>
      </c>
      <c r="B722" s="915" t="s">
        <v>4181</v>
      </c>
      <c r="C722" s="915" t="str">
        <f t="shared" si="11"/>
        <v>4월</v>
      </c>
      <c r="D722" s="916" t="s">
        <v>4380</v>
      </c>
      <c r="E722" s="916" t="s">
        <v>4381</v>
      </c>
      <c r="F722" s="916" t="s">
        <v>4382</v>
      </c>
      <c r="G722" s="915" t="s">
        <v>4383</v>
      </c>
      <c r="H722" s="917">
        <v>66000</v>
      </c>
      <c r="I722" s="918"/>
      <c r="J722" s="917">
        <v>2824319</v>
      </c>
    </row>
    <row r="723" spans="1:10">
      <c r="A723" t="s">
        <v>4597</v>
      </c>
      <c r="B723" s="915" t="s">
        <v>3949</v>
      </c>
      <c r="C723" s="915" t="str">
        <f t="shared" si="11"/>
        <v>4월</v>
      </c>
      <c r="D723" s="916" t="s">
        <v>4443</v>
      </c>
      <c r="E723" s="916" t="s">
        <v>4444</v>
      </c>
      <c r="F723" s="916" t="s">
        <v>4445</v>
      </c>
      <c r="G723" s="915" t="s">
        <v>4446</v>
      </c>
      <c r="H723" s="917">
        <v>4400</v>
      </c>
      <c r="I723" s="918"/>
      <c r="J723" s="917">
        <v>2828719</v>
      </c>
    </row>
    <row r="724" spans="1:10">
      <c r="A724" t="s">
        <v>4597</v>
      </c>
      <c r="B724" s="915" t="s">
        <v>4447</v>
      </c>
      <c r="C724" s="915" t="str">
        <f t="shared" si="11"/>
        <v>4월</v>
      </c>
      <c r="D724" s="916" t="s">
        <v>4448</v>
      </c>
      <c r="E724" s="916" t="s">
        <v>4449</v>
      </c>
      <c r="F724" s="916" t="s">
        <v>4450</v>
      </c>
      <c r="G724" s="915" t="s">
        <v>4451</v>
      </c>
      <c r="H724" s="917">
        <v>9000000</v>
      </c>
      <c r="I724" s="918"/>
      <c r="J724" s="917">
        <v>11828719</v>
      </c>
    </row>
    <row r="725" spans="1:10">
      <c r="A725" t="s">
        <v>4597</v>
      </c>
      <c r="B725" s="915" t="s">
        <v>4138</v>
      </c>
      <c r="C725" s="915" t="str">
        <f t="shared" si="11"/>
        <v>4월</v>
      </c>
      <c r="D725" s="916" t="s">
        <v>4395</v>
      </c>
      <c r="E725" s="916" t="s">
        <v>4365</v>
      </c>
      <c r="F725" s="916" t="s">
        <v>4366</v>
      </c>
      <c r="G725" s="915"/>
      <c r="H725" s="917">
        <v>7700</v>
      </c>
      <c r="I725" s="918"/>
      <c r="J725" s="918"/>
    </row>
    <row r="726" spans="1:10">
      <c r="A726" t="s">
        <v>4597</v>
      </c>
      <c r="B726" s="915" t="s">
        <v>4138</v>
      </c>
      <c r="C726" s="915" t="str">
        <f t="shared" si="11"/>
        <v>4월</v>
      </c>
      <c r="D726" s="916" t="s">
        <v>4452</v>
      </c>
      <c r="E726" s="916"/>
      <c r="F726" s="916" t="s">
        <v>3194</v>
      </c>
      <c r="G726" s="915"/>
      <c r="H726" s="917">
        <v>500</v>
      </c>
      <c r="I726" s="918"/>
      <c r="J726" s="917">
        <v>11836919</v>
      </c>
    </row>
    <row r="727" spans="1:10">
      <c r="A727" t="s">
        <v>4597</v>
      </c>
      <c r="B727" s="915" t="s">
        <v>3720</v>
      </c>
      <c r="C727" s="915" t="str">
        <f t="shared" si="11"/>
        <v>4월</v>
      </c>
      <c r="D727" s="916" t="s">
        <v>4395</v>
      </c>
      <c r="E727" s="916" t="s">
        <v>4365</v>
      </c>
      <c r="F727" s="916" t="s">
        <v>4366</v>
      </c>
      <c r="G727" s="915"/>
      <c r="H727" s="917">
        <v>1160</v>
      </c>
      <c r="I727" s="918"/>
      <c r="J727" s="917">
        <v>11838079</v>
      </c>
    </row>
    <row r="728" spans="1:10">
      <c r="A728" t="s">
        <v>4597</v>
      </c>
      <c r="B728" s="915" t="s">
        <v>3881</v>
      </c>
      <c r="C728" s="915" t="str">
        <f t="shared" si="11"/>
        <v>4월</v>
      </c>
      <c r="D728" s="916" t="s">
        <v>4453</v>
      </c>
      <c r="E728" s="916" t="s">
        <v>4369</v>
      </c>
      <c r="F728" s="916" t="s">
        <v>4370</v>
      </c>
      <c r="G728" s="915"/>
      <c r="H728" s="917">
        <v>737</v>
      </c>
      <c r="I728" s="918"/>
      <c r="J728" s="917">
        <v>11838816</v>
      </c>
    </row>
    <row r="729" spans="1:10">
      <c r="A729" t="s">
        <v>4597</v>
      </c>
      <c r="B729" s="915" t="s">
        <v>4454</v>
      </c>
      <c r="C729" s="915" t="str">
        <f t="shared" si="11"/>
        <v>4월</v>
      </c>
      <c r="D729" s="916" t="s">
        <v>4395</v>
      </c>
      <c r="E729" s="916" t="s">
        <v>4365</v>
      </c>
      <c r="F729" s="916" t="s">
        <v>4366</v>
      </c>
      <c r="G729" s="915"/>
      <c r="H729" s="917">
        <v>208300</v>
      </c>
      <c r="I729" s="918"/>
      <c r="J729" s="917">
        <v>12047116</v>
      </c>
    </row>
    <row r="730" spans="1:10">
      <c r="A730" t="s">
        <v>4597</v>
      </c>
      <c r="B730" s="915" t="s">
        <v>4332</v>
      </c>
      <c r="C730" s="915" t="str">
        <f t="shared" si="11"/>
        <v>4월</v>
      </c>
      <c r="D730" s="916" t="s">
        <v>4455</v>
      </c>
      <c r="E730" s="916" t="s">
        <v>4390</v>
      </c>
      <c r="F730" s="916" t="s">
        <v>4391</v>
      </c>
      <c r="G730" s="915" t="s">
        <v>4392</v>
      </c>
      <c r="H730" s="917">
        <v>-150320</v>
      </c>
      <c r="I730" s="918"/>
      <c r="J730" s="917">
        <v>11896796</v>
      </c>
    </row>
    <row r="731" spans="1:10">
      <c r="A731" t="s">
        <v>4597</v>
      </c>
      <c r="B731" s="915" t="s">
        <v>4456</v>
      </c>
      <c r="C731" s="915" t="str">
        <f t="shared" si="11"/>
        <v>5월</v>
      </c>
      <c r="D731" s="916" t="s">
        <v>4421</v>
      </c>
      <c r="E731" s="916" t="s">
        <v>4400</v>
      </c>
      <c r="F731" s="916" t="s">
        <v>4401</v>
      </c>
      <c r="G731" s="915"/>
      <c r="H731" s="917">
        <v>240</v>
      </c>
      <c r="I731" s="918"/>
      <c r="J731" s="918"/>
    </row>
    <row r="732" spans="1:10">
      <c r="A732" t="s">
        <v>4597</v>
      </c>
      <c r="B732" s="915" t="s">
        <v>4456</v>
      </c>
      <c r="C732" s="915" t="str">
        <f t="shared" si="11"/>
        <v>5월</v>
      </c>
      <c r="D732" s="916" t="s">
        <v>4457</v>
      </c>
      <c r="E732" s="916" t="s">
        <v>4390</v>
      </c>
      <c r="F732" s="916" t="s">
        <v>4391</v>
      </c>
      <c r="G732" s="915" t="s">
        <v>4392</v>
      </c>
      <c r="H732" s="917">
        <v>-150320</v>
      </c>
      <c r="I732" s="918"/>
      <c r="J732" s="917">
        <v>11746716</v>
      </c>
    </row>
    <row r="733" spans="1:10">
      <c r="A733" t="s">
        <v>4597</v>
      </c>
      <c r="B733" s="915" t="s">
        <v>4458</v>
      </c>
      <c r="C733" s="915" t="str">
        <f t="shared" si="11"/>
        <v>5월</v>
      </c>
      <c r="D733" s="916" t="s">
        <v>4395</v>
      </c>
      <c r="E733" s="916" t="s">
        <v>4365</v>
      </c>
      <c r="F733" s="916" t="s">
        <v>4366</v>
      </c>
      <c r="G733" s="915"/>
      <c r="H733" s="917">
        <v>26980</v>
      </c>
      <c r="I733" s="918"/>
      <c r="J733" s="918"/>
    </row>
    <row r="734" spans="1:10">
      <c r="A734" t="s">
        <v>4597</v>
      </c>
      <c r="B734" s="915" t="s">
        <v>4458</v>
      </c>
      <c r="C734" s="915" t="str">
        <f t="shared" si="11"/>
        <v>5월</v>
      </c>
      <c r="D734" s="916" t="s">
        <v>4459</v>
      </c>
      <c r="E734" s="916" t="s">
        <v>4400</v>
      </c>
      <c r="F734" s="916" t="s">
        <v>4401</v>
      </c>
      <c r="G734" s="915"/>
      <c r="H734" s="917">
        <v>240</v>
      </c>
      <c r="I734" s="918"/>
      <c r="J734" s="917">
        <v>11773936</v>
      </c>
    </row>
    <row r="735" spans="1:10">
      <c r="A735" t="s">
        <v>4597</v>
      </c>
      <c r="B735" s="915" t="s">
        <v>3727</v>
      </c>
      <c r="C735" s="915" t="str">
        <f t="shared" si="11"/>
        <v>5월</v>
      </c>
      <c r="D735" s="916" t="s">
        <v>4412</v>
      </c>
      <c r="E735" s="916"/>
      <c r="F735" s="916"/>
      <c r="G735" s="915"/>
      <c r="H735" s="917">
        <v>-10040</v>
      </c>
      <c r="I735" s="918"/>
      <c r="J735" s="917">
        <v>11763896</v>
      </c>
    </row>
    <row r="736" spans="1:10">
      <c r="A736" t="s">
        <v>4597</v>
      </c>
      <c r="B736" s="915" t="s">
        <v>4334</v>
      </c>
      <c r="C736" s="915" t="str">
        <f t="shared" si="11"/>
        <v>5월</v>
      </c>
      <c r="D736" s="916" t="s">
        <v>4460</v>
      </c>
      <c r="E736" s="916"/>
      <c r="F736" s="916" t="s">
        <v>4461</v>
      </c>
      <c r="G736" s="915"/>
      <c r="H736" s="917">
        <v>4000</v>
      </c>
      <c r="I736" s="918"/>
      <c r="J736" s="918"/>
    </row>
    <row r="737" spans="1:10">
      <c r="A737" t="s">
        <v>4597</v>
      </c>
      <c r="B737" s="915" t="s">
        <v>4334</v>
      </c>
      <c r="C737" s="915" t="str">
        <f t="shared" si="11"/>
        <v>5월</v>
      </c>
      <c r="D737" s="916" t="s">
        <v>4462</v>
      </c>
      <c r="E737" s="916"/>
      <c r="F737" s="916" t="s">
        <v>3209</v>
      </c>
      <c r="G737" s="915"/>
      <c r="H737" s="917">
        <v>4400</v>
      </c>
      <c r="I737" s="918"/>
      <c r="J737" s="918"/>
    </row>
    <row r="738" spans="1:10">
      <c r="A738" t="s">
        <v>4597</v>
      </c>
      <c r="B738" s="915" t="s">
        <v>4334</v>
      </c>
      <c r="C738" s="915" t="str">
        <f t="shared" si="11"/>
        <v>5월</v>
      </c>
      <c r="D738" s="916" t="s">
        <v>4394</v>
      </c>
      <c r="E738" s="916" t="s">
        <v>4369</v>
      </c>
      <c r="F738" s="916" t="s">
        <v>4370</v>
      </c>
      <c r="G738" s="915"/>
      <c r="H738" s="917">
        <v>1155</v>
      </c>
      <c r="I738" s="918"/>
      <c r="J738" s="918"/>
    </row>
    <row r="739" spans="1:10">
      <c r="A739" t="s">
        <v>4597</v>
      </c>
      <c r="B739" s="915" t="s">
        <v>4334</v>
      </c>
      <c r="C739" s="915" t="str">
        <f t="shared" si="11"/>
        <v>5월</v>
      </c>
      <c r="D739" s="916" t="s">
        <v>4394</v>
      </c>
      <c r="E739" s="916" t="s">
        <v>4369</v>
      </c>
      <c r="F739" s="916" t="s">
        <v>4370</v>
      </c>
      <c r="G739" s="915"/>
      <c r="H739" s="917">
        <v>8990</v>
      </c>
      <c r="I739" s="918"/>
      <c r="J739" s="918"/>
    </row>
    <row r="740" spans="1:10">
      <c r="A740" t="s">
        <v>4597</v>
      </c>
      <c r="B740" s="915" t="s">
        <v>4334</v>
      </c>
      <c r="C740" s="915" t="str">
        <f t="shared" si="11"/>
        <v>5월</v>
      </c>
      <c r="D740" s="916" t="s">
        <v>4395</v>
      </c>
      <c r="E740" s="916" t="s">
        <v>4365</v>
      </c>
      <c r="F740" s="916" t="s">
        <v>4366</v>
      </c>
      <c r="G740" s="915"/>
      <c r="H740" s="917">
        <v>25820</v>
      </c>
      <c r="I740" s="918"/>
      <c r="J740" s="917">
        <v>11808261</v>
      </c>
    </row>
    <row r="741" spans="1:10">
      <c r="A741" t="s">
        <v>4597</v>
      </c>
      <c r="B741" s="915" t="s">
        <v>3728</v>
      </c>
      <c r="C741" s="915" t="str">
        <f t="shared" si="11"/>
        <v>5월</v>
      </c>
      <c r="D741" s="916" t="s">
        <v>4463</v>
      </c>
      <c r="E741" s="916" t="s">
        <v>4400</v>
      </c>
      <c r="F741" s="916" t="s">
        <v>4401</v>
      </c>
      <c r="G741" s="915"/>
      <c r="H741" s="917">
        <v>240</v>
      </c>
      <c r="I741" s="918"/>
      <c r="J741" s="918"/>
    </row>
    <row r="742" spans="1:10">
      <c r="A742" t="s">
        <v>4597</v>
      </c>
      <c r="B742" s="915" t="s">
        <v>3728</v>
      </c>
      <c r="C742" s="915" t="str">
        <f t="shared" si="11"/>
        <v>5월</v>
      </c>
      <c r="D742" s="916" t="s">
        <v>4464</v>
      </c>
      <c r="E742" s="916" t="s">
        <v>4373</v>
      </c>
      <c r="F742" s="916" t="s">
        <v>4374</v>
      </c>
      <c r="G742" s="915" t="s">
        <v>4375</v>
      </c>
      <c r="H742" s="917">
        <v>35000</v>
      </c>
      <c r="I742" s="918"/>
      <c r="J742" s="917">
        <v>11843501</v>
      </c>
    </row>
    <row r="743" spans="1:10">
      <c r="A743" t="s">
        <v>4597</v>
      </c>
      <c r="B743" s="915" t="s">
        <v>4465</v>
      </c>
      <c r="C743" s="915" t="str">
        <f t="shared" si="11"/>
        <v>5월</v>
      </c>
      <c r="D743" s="916" t="s">
        <v>4395</v>
      </c>
      <c r="E743" s="916" t="s">
        <v>4365</v>
      </c>
      <c r="F743" s="916" t="s">
        <v>4366</v>
      </c>
      <c r="G743" s="915"/>
      <c r="H743" s="917">
        <v>24340</v>
      </c>
      <c r="I743" s="918"/>
      <c r="J743" s="917">
        <v>11867841</v>
      </c>
    </row>
    <row r="744" spans="1:10">
      <c r="A744" t="s">
        <v>4597</v>
      </c>
      <c r="B744" s="915" t="s">
        <v>4025</v>
      </c>
      <c r="C744" s="915" t="str">
        <f t="shared" si="11"/>
        <v>5월</v>
      </c>
      <c r="D744" s="916" t="s">
        <v>4394</v>
      </c>
      <c r="E744" s="916" t="s">
        <v>4369</v>
      </c>
      <c r="F744" s="916" t="s">
        <v>4370</v>
      </c>
      <c r="G744" s="915"/>
      <c r="H744" s="917">
        <v>69336</v>
      </c>
      <c r="I744" s="918"/>
      <c r="J744" s="918"/>
    </row>
    <row r="745" spans="1:10">
      <c r="A745" t="s">
        <v>4597</v>
      </c>
      <c r="B745" s="915" t="s">
        <v>4025</v>
      </c>
      <c r="C745" s="915" t="str">
        <f t="shared" si="11"/>
        <v>5월</v>
      </c>
      <c r="D745" s="916" t="s">
        <v>4389</v>
      </c>
      <c r="E745" s="916" t="s">
        <v>4390</v>
      </c>
      <c r="F745" s="916" t="s">
        <v>4391</v>
      </c>
      <c r="G745" s="915" t="s">
        <v>4392</v>
      </c>
      <c r="H745" s="917">
        <v>451000</v>
      </c>
      <c r="I745" s="918"/>
      <c r="J745" s="918"/>
    </row>
    <row r="746" spans="1:10" ht="33.75">
      <c r="A746" t="s">
        <v>4597</v>
      </c>
      <c r="B746" s="915" t="s">
        <v>4025</v>
      </c>
      <c r="C746" s="915" t="str">
        <f t="shared" si="11"/>
        <v>5월</v>
      </c>
      <c r="D746" s="916" t="s">
        <v>4380</v>
      </c>
      <c r="E746" s="916" t="s">
        <v>4381</v>
      </c>
      <c r="F746" s="916" t="s">
        <v>4382</v>
      </c>
      <c r="G746" s="915" t="s">
        <v>4383</v>
      </c>
      <c r="H746" s="917">
        <v>66000</v>
      </c>
      <c r="I746" s="918"/>
      <c r="J746" s="917">
        <v>12454177</v>
      </c>
    </row>
    <row r="747" spans="1:10">
      <c r="A747" t="s">
        <v>4597</v>
      </c>
      <c r="B747" s="915" t="s">
        <v>3737</v>
      </c>
      <c r="C747" s="915" t="str">
        <f t="shared" si="11"/>
        <v>5월</v>
      </c>
      <c r="D747" s="916" t="s">
        <v>4412</v>
      </c>
      <c r="E747" s="916"/>
      <c r="F747" s="916"/>
      <c r="G747" s="915"/>
      <c r="H747" s="917">
        <v>-20880</v>
      </c>
      <c r="I747" s="918"/>
      <c r="J747" s="918"/>
    </row>
    <row r="748" spans="1:10">
      <c r="A748" t="s">
        <v>4597</v>
      </c>
      <c r="B748" s="915" t="s">
        <v>3737</v>
      </c>
      <c r="C748" s="915" t="str">
        <f t="shared" si="11"/>
        <v>5월</v>
      </c>
      <c r="D748" s="916" t="s">
        <v>4395</v>
      </c>
      <c r="E748" s="916" t="s">
        <v>4365</v>
      </c>
      <c r="F748" s="916" t="s">
        <v>4366</v>
      </c>
      <c r="G748" s="915"/>
      <c r="H748" s="917">
        <v>7580</v>
      </c>
      <c r="I748" s="918"/>
      <c r="J748" s="917">
        <v>12440877</v>
      </c>
    </row>
    <row r="749" spans="1:10">
      <c r="A749" t="s">
        <v>4597</v>
      </c>
      <c r="B749" s="915" t="s">
        <v>4466</v>
      </c>
      <c r="C749" s="915" t="str">
        <f t="shared" si="11"/>
        <v>5월</v>
      </c>
      <c r="D749" s="916" t="s">
        <v>4467</v>
      </c>
      <c r="E749" s="916"/>
      <c r="F749" s="916" t="s">
        <v>4468</v>
      </c>
      <c r="G749" s="915"/>
      <c r="H749" s="917">
        <v>3000</v>
      </c>
      <c r="I749" s="918"/>
      <c r="J749" s="917">
        <v>12443877</v>
      </c>
    </row>
    <row r="750" spans="1:10">
      <c r="A750" t="s">
        <v>4597</v>
      </c>
      <c r="B750" s="915" t="s">
        <v>4097</v>
      </c>
      <c r="C750" s="915" t="str">
        <f t="shared" si="11"/>
        <v>5월</v>
      </c>
      <c r="D750" s="916" t="s">
        <v>4469</v>
      </c>
      <c r="E750" s="916"/>
      <c r="F750" s="916" t="s">
        <v>4470</v>
      </c>
      <c r="G750" s="915"/>
      <c r="H750" s="917">
        <v>15000</v>
      </c>
      <c r="I750" s="918"/>
      <c r="J750" s="918"/>
    </row>
    <row r="751" spans="1:10">
      <c r="A751" t="s">
        <v>4597</v>
      </c>
      <c r="B751" s="915" t="s">
        <v>4097</v>
      </c>
      <c r="C751" s="915" t="str">
        <f t="shared" si="11"/>
        <v>5월</v>
      </c>
      <c r="D751" s="916" t="s">
        <v>4469</v>
      </c>
      <c r="E751" s="916"/>
      <c r="F751" s="916" t="s">
        <v>4470</v>
      </c>
      <c r="G751" s="915"/>
      <c r="H751" s="917">
        <v>2000</v>
      </c>
      <c r="I751" s="918"/>
      <c r="J751" s="918"/>
    </row>
    <row r="752" spans="1:10">
      <c r="A752" t="s">
        <v>4597</v>
      </c>
      <c r="B752" s="915" t="s">
        <v>4097</v>
      </c>
      <c r="C752" s="915" t="str">
        <f t="shared" si="11"/>
        <v>5월</v>
      </c>
      <c r="D752" s="916" t="s">
        <v>4453</v>
      </c>
      <c r="E752" s="916" t="s">
        <v>4369</v>
      </c>
      <c r="F752" s="916" t="s">
        <v>4370</v>
      </c>
      <c r="G752" s="915"/>
      <c r="H752" s="917">
        <v>737</v>
      </c>
      <c r="I752" s="918"/>
      <c r="J752" s="918"/>
    </row>
    <row r="753" spans="1:10">
      <c r="A753" t="s">
        <v>4597</v>
      </c>
      <c r="B753" s="915" t="s">
        <v>4097</v>
      </c>
      <c r="C753" s="915" t="str">
        <f t="shared" si="11"/>
        <v>5월</v>
      </c>
      <c r="D753" s="916" t="s">
        <v>4394</v>
      </c>
      <c r="E753" s="916" t="s">
        <v>4369</v>
      </c>
      <c r="F753" s="916" t="s">
        <v>4370</v>
      </c>
      <c r="G753" s="915"/>
      <c r="H753" s="917">
        <v>25606</v>
      </c>
      <c r="I753" s="918"/>
      <c r="J753" s="917">
        <v>12487220</v>
      </c>
    </row>
    <row r="754" spans="1:10">
      <c r="A754" t="s">
        <v>4597</v>
      </c>
      <c r="B754" s="915" t="s">
        <v>4186</v>
      </c>
      <c r="C754" s="915" t="str">
        <f t="shared" si="11"/>
        <v>5월</v>
      </c>
      <c r="D754" s="916" t="s">
        <v>4395</v>
      </c>
      <c r="E754" s="916" t="s">
        <v>4365</v>
      </c>
      <c r="F754" s="916" t="s">
        <v>4366</v>
      </c>
      <c r="G754" s="915"/>
      <c r="H754" s="917">
        <v>1280</v>
      </c>
      <c r="I754" s="918"/>
      <c r="J754" s="917">
        <v>12488500</v>
      </c>
    </row>
    <row r="755" spans="1:10">
      <c r="A755" t="s">
        <v>4597</v>
      </c>
      <c r="B755" s="915" t="s">
        <v>3884</v>
      </c>
      <c r="C755" s="915" t="str">
        <f t="shared" si="11"/>
        <v>5월</v>
      </c>
      <c r="D755" s="916" t="s">
        <v>4471</v>
      </c>
      <c r="E755" s="916"/>
      <c r="F755" s="916" t="s">
        <v>4472</v>
      </c>
      <c r="G755" s="915"/>
      <c r="H755" s="917">
        <v>3150000</v>
      </c>
      <c r="I755" s="918"/>
      <c r="J755" s="917">
        <v>15638500</v>
      </c>
    </row>
    <row r="756" spans="1:10">
      <c r="A756" t="s">
        <v>4597</v>
      </c>
      <c r="B756" s="915" t="s">
        <v>3739</v>
      </c>
      <c r="C756" s="915" t="str">
        <f t="shared" si="11"/>
        <v>5월</v>
      </c>
      <c r="D756" s="916" t="s">
        <v>4473</v>
      </c>
      <c r="E756" s="916"/>
      <c r="F756" s="916" t="s">
        <v>4474</v>
      </c>
      <c r="G756" s="915"/>
      <c r="H756" s="917">
        <v>4000</v>
      </c>
      <c r="I756" s="918"/>
      <c r="J756" s="918"/>
    </row>
    <row r="757" spans="1:10">
      <c r="A757" t="s">
        <v>4597</v>
      </c>
      <c r="B757" s="915" t="s">
        <v>3739</v>
      </c>
      <c r="C757" s="915" t="str">
        <f t="shared" si="11"/>
        <v>5월</v>
      </c>
      <c r="D757" s="916" t="s">
        <v>4395</v>
      </c>
      <c r="E757" s="916" t="s">
        <v>4365</v>
      </c>
      <c r="F757" s="916" t="s">
        <v>4366</v>
      </c>
      <c r="G757" s="915"/>
      <c r="H757" s="917">
        <v>210840</v>
      </c>
      <c r="I757" s="918"/>
      <c r="J757" s="917">
        <v>15853340</v>
      </c>
    </row>
    <row r="758" spans="1:10">
      <c r="A758" t="s">
        <v>4597</v>
      </c>
      <c r="B758" s="915" t="s">
        <v>3745</v>
      </c>
      <c r="C758" s="915" t="str">
        <f t="shared" si="11"/>
        <v>5월</v>
      </c>
      <c r="D758" s="916" t="s">
        <v>4394</v>
      </c>
      <c r="E758" s="916" t="s">
        <v>4369</v>
      </c>
      <c r="F758" s="916" t="s">
        <v>4370</v>
      </c>
      <c r="G758" s="915"/>
      <c r="H758" s="917">
        <v>80852</v>
      </c>
      <c r="I758" s="918"/>
      <c r="J758" s="917">
        <v>15934192</v>
      </c>
    </row>
    <row r="759" spans="1:10">
      <c r="A759" t="s">
        <v>4597</v>
      </c>
      <c r="B759" s="915" t="s">
        <v>3747</v>
      </c>
      <c r="C759" s="915" t="str">
        <f t="shared" si="11"/>
        <v>5월</v>
      </c>
      <c r="D759" s="916" t="s">
        <v>4460</v>
      </c>
      <c r="E759" s="916"/>
      <c r="F759" s="916" t="s">
        <v>4424</v>
      </c>
      <c r="G759" s="915"/>
      <c r="H759" s="917">
        <v>4800</v>
      </c>
      <c r="I759" s="918"/>
      <c r="J759" s="918"/>
    </row>
    <row r="760" spans="1:10">
      <c r="A760" t="s">
        <v>4597</v>
      </c>
      <c r="B760" s="915" t="s">
        <v>3747</v>
      </c>
      <c r="C760" s="915" t="str">
        <f t="shared" si="11"/>
        <v>5월</v>
      </c>
      <c r="D760" s="916" t="s">
        <v>4421</v>
      </c>
      <c r="E760" s="916" t="s">
        <v>4400</v>
      </c>
      <c r="F760" s="916" t="s">
        <v>4401</v>
      </c>
      <c r="G760" s="915"/>
      <c r="H760" s="917">
        <v>240</v>
      </c>
      <c r="I760" s="918"/>
      <c r="J760" s="918"/>
    </row>
    <row r="761" spans="1:10">
      <c r="A761" t="s">
        <v>4597</v>
      </c>
      <c r="B761" s="915" t="s">
        <v>3747</v>
      </c>
      <c r="C761" s="915" t="str">
        <f t="shared" si="11"/>
        <v>5월</v>
      </c>
      <c r="D761" s="916" t="s">
        <v>4475</v>
      </c>
      <c r="E761" s="916"/>
      <c r="F761" s="916" t="s">
        <v>3194</v>
      </c>
      <c r="G761" s="915"/>
      <c r="H761" s="917">
        <v>500</v>
      </c>
      <c r="I761" s="918"/>
      <c r="J761" s="918"/>
    </row>
    <row r="762" spans="1:10">
      <c r="A762" t="s">
        <v>4597</v>
      </c>
      <c r="B762" s="915" t="s">
        <v>3747</v>
      </c>
      <c r="C762" s="915" t="str">
        <f t="shared" si="11"/>
        <v>5월</v>
      </c>
      <c r="D762" s="916" t="s">
        <v>4475</v>
      </c>
      <c r="E762" s="916"/>
      <c r="F762" s="916" t="s">
        <v>3194</v>
      </c>
      <c r="G762" s="915"/>
      <c r="H762" s="917">
        <v>500</v>
      </c>
      <c r="I762" s="918"/>
      <c r="J762" s="918"/>
    </row>
    <row r="763" spans="1:10">
      <c r="A763" t="s">
        <v>4597</v>
      </c>
      <c r="B763" s="915" t="s">
        <v>3747</v>
      </c>
      <c r="C763" s="915" t="str">
        <f t="shared" si="11"/>
        <v>5월</v>
      </c>
      <c r="D763" s="916" t="s">
        <v>4475</v>
      </c>
      <c r="E763" s="916"/>
      <c r="F763" s="916" t="s">
        <v>3208</v>
      </c>
      <c r="G763" s="915"/>
      <c r="H763" s="917">
        <v>1000</v>
      </c>
      <c r="I763" s="918"/>
      <c r="J763" s="918"/>
    </row>
    <row r="764" spans="1:10">
      <c r="A764" t="s">
        <v>4597</v>
      </c>
      <c r="B764" s="915" t="s">
        <v>3747</v>
      </c>
      <c r="C764" s="915" t="str">
        <f t="shared" si="11"/>
        <v>5월</v>
      </c>
      <c r="D764" s="916" t="s">
        <v>4475</v>
      </c>
      <c r="E764" s="916"/>
      <c r="F764" s="916" t="s">
        <v>3197</v>
      </c>
      <c r="G764" s="915"/>
      <c r="H764" s="917">
        <v>500</v>
      </c>
      <c r="I764" s="918"/>
      <c r="J764" s="918"/>
    </row>
    <row r="765" spans="1:10">
      <c r="A765" t="s">
        <v>4597</v>
      </c>
      <c r="B765" s="915" t="s">
        <v>3747</v>
      </c>
      <c r="C765" s="915" t="str">
        <f t="shared" si="11"/>
        <v>5월</v>
      </c>
      <c r="D765" s="916" t="s">
        <v>4475</v>
      </c>
      <c r="E765" s="916"/>
      <c r="F765" s="916" t="s">
        <v>3197</v>
      </c>
      <c r="G765" s="915"/>
      <c r="H765" s="917">
        <v>2000</v>
      </c>
      <c r="I765" s="918"/>
      <c r="J765" s="918"/>
    </row>
    <row r="766" spans="1:10">
      <c r="A766" t="s">
        <v>4597</v>
      </c>
      <c r="B766" s="915" t="s">
        <v>3747</v>
      </c>
      <c r="C766" s="915" t="str">
        <f t="shared" si="11"/>
        <v>5월</v>
      </c>
      <c r="D766" s="916" t="s">
        <v>4395</v>
      </c>
      <c r="E766" s="916" t="s">
        <v>4365</v>
      </c>
      <c r="F766" s="916" t="s">
        <v>4366</v>
      </c>
      <c r="G766" s="915"/>
      <c r="H766" s="917">
        <v>28940</v>
      </c>
      <c r="I766" s="918"/>
      <c r="J766" s="918"/>
    </row>
    <row r="767" spans="1:10">
      <c r="A767" t="s">
        <v>4597</v>
      </c>
      <c r="B767" s="915" t="s">
        <v>3747</v>
      </c>
      <c r="C767" s="915" t="str">
        <f t="shared" si="11"/>
        <v>5월</v>
      </c>
      <c r="D767" s="916" t="s">
        <v>4476</v>
      </c>
      <c r="E767" s="916" t="s">
        <v>4160</v>
      </c>
      <c r="F767" s="916" t="s">
        <v>4161</v>
      </c>
      <c r="G767" s="915" t="s">
        <v>4162</v>
      </c>
      <c r="H767" s="917">
        <v>-150320</v>
      </c>
      <c r="I767" s="918"/>
      <c r="J767" s="918"/>
    </row>
    <row r="768" spans="1:10">
      <c r="A768" t="s">
        <v>4597</v>
      </c>
      <c r="B768" s="915" t="s">
        <v>3747</v>
      </c>
      <c r="C768" s="915" t="str">
        <f t="shared" si="11"/>
        <v>5월</v>
      </c>
      <c r="D768" s="916" t="s">
        <v>4477</v>
      </c>
      <c r="E768" s="916" t="s">
        <v>4164</v>
      </c>
      <c r="F768" s="916" t="s">
        <v>4165</v>
      </c>
      <c r="G768" s="915" t="s">
        <v>4166</v>
      </c>
      <c r="H768" s="917">
        <v>-150320</v>
      </c>
      <c r="I768" s="918"/>
      <c r="J768" s="917">
        <v>15672032</v>
      </c>
    </row>
    <row r="769" spans="1:10">
      <c r="A769" t="s">
        <v>4597</v>
      </c>
      <c r="B769" s="915" t="s">
        <v>4478</v>
      </c>
      <c r="C769" s="915" t="str">
        <f t="shared" si="11"/>
        <v>6월</v>
      </c>
      <c r="D769" s="916" t="s">
        <v>4412</v>
      </c>
      <c r="E769" s="916"/>
      <c r="F769" s="916"/>
      <c r="G769" s="915"/>
      <c r="H769" s="917">
        <v>-10420</v>
      </c>
      <c r="I769" s="918"/>
      <c r="J769" s="917">
        <v>15661612</v>
      </c>
    </row>
    <row r="770" spans="1:10">
      <c r="A770" t="s">
        <v>4597</v>
      </c>
      <c r="B770" s="915" t="s">
        <v>3749</v>
      </c>
      <c r="C770" s="915" t="str">
        <f t="shared" si="11"/>
        <v>6월</v>
      </c>
      <c r="D770" s="916" t="s">
        <v>4479</v>
      </c>
      <c r="E770" s="916" t="s">
        <v>4369</v>
      </c>
      <c r="F770" s="916" t="s">
        <v>4370</v>
      </c>
      <c r="G770" s="915"/>
      <c r="H770" s="917">
        <v>385</v>
      </c>
      <c r="I770" s="918"/>
      <c r="J770" s="918"/>
    </row>
    <row r="771" spans="1:10">
      <c r="A771" t="s">
        <v>4597</v>
      </c>
      <c r="B771" s="915" t="s">
        <v>3749</v>
      </c>
      <c r="C771" s="915" t="str">
        <f t="shared" ref="C771:C834" si="12">MONTH(B771)&amp;"월"</f>
        <v>6월</v>
      </c>
      <c r="D771" s="916" t="s">
        <v>4395</v>
      </c>
      <c r="E771" s="916" t="s">
        <v>4365</v>
      </c>
      <c r="F771" s="916" t="s">
        <v>4366</v>
      </c>
      <c r="G771" s="915"/>
      <c r="H771" s="917">
        <v>26100</v>
      </c>
      <c r="I771" s="918"/>
      <c r="J771" s="918"/>
    </row>
    <row r="772" spans="1:10">
      <c r="A772" t="s">
        <v>4597</v>
      </c>
      <c r="B772" s="915" t="s">
        <v>3749</v>
      </c>
      <c r="C772" s="915" t="str">
        <f t="shared" si="12"/>
        <v>6월</v>
      </c>
      <c r="D772" s="916" t="s">
        <v>4453</v>
      </c>
      <c r="E772" s="916" t="s">
        <v>4369</v>
      </c>
      <c r="F772" s="916" t="s">
        <v>4370</v>
      </c>
      <c r="G772" s="915"/>
      <c r="H772" s="917">
        <v>90836</v>
      </c>
      <c r="I772" s="918"/>
      <c r="J772" s="917">
        <v>15778933</v>
      </c>
    </row>
    <row r="773" spans="1:10">
      <c r="A773" t="s">
        <v>4597</v>
      </c>
      <c r="B773" s="915" t="s">
        <v>4480</v>
      </c>
      <c r="C773" s="915" t="str">
        <f t="shared" si="12"/>
        <v>6월</v>
      </c>
      <c r="D773" s="916" t="s">
        <v>4459</v>
      </c>
      <c r="E773" s="916" t="s">
        <v>4400</v>
      </c>
      <c r="F773" s="916" t="s">
        <v>4401</v>
      </c>
      <c r="G773" s="915"/>
      <c r="H773" s="917">
        <v>240</v>
      </c>
      <c r="I773" s="918"/>
      <c r="J773" s="917">
        <v>15779173</v>
      </c>
    </row>
    <row r="774" spans="1:10">
      <c r="A774" t="s">
        <v>4597</v>
      </c>
      <c r="B774" s="915" t="s">
        <v>4481</v>
      </c>
      <c r="C774" s="915" t="str">
        <f t="shared" si="12"/>
        <v>6월</v>
      </c>
      <c r="D774" s="916" t="s">
        <v>4482</v>
      </c>
      <c r="E774" s="916" t="s">
        <v>4373</v>
      </c>
      <c r="F774" s="916" t="s">
        <v>4374</v>
      </c>
      <c r="G774" s="915" t="s">
        <v>4375</v>
      </c>
      <c r="H774" s="917">
        <v>35000</v>
      </c>
      <c r="I774" s="918"/>
      <c r="J774" s="917">
        <v>15814173</v>
      </c>
    </row>
    <row r="775" spans="1:10">
      <c r="A775" t="s">
        <v>4597</v>
      </c>
      <c r="B775" s="915" t="s">
        <v>3750</v>
      </c>
      <c r="C775" s="915" t="str">
        <f t="shared" si="12"/>
        <v>6월</v>
      </c>
      <c r="D775" s="916" t="s">
        <v>4395</v>
      </c>
      <c r="E775" s="916" t="s">
        <v>4365</v>
      </c>
      <c r="F775" s="916" t="s">
        <v>4366</v>
      </c>
      <c r="G775" s="915"/>
      <c r="H775" s="917">
        <v>33620</v>
      </c>
      <c r="I775" s="918"/>
      <c r="J775" s="917">
        <v>15847793</v>
      </c>
    </row>
    <row r="776" spans="1:10">
      <c r="A776" t="s">
        <v>4597</v>
      </c>
      <c r="B776" s="915" t="s">
        <v>4483</v>
      </c>
      <c r="C776" s="915" t="str">
        <f t="shared" si="12"/>
        <v>6월</v>
      </c>
      <c r="D776" s="916" t="s">
        <v>4484</v>
      </c>
      <c r="E776" s="916" t="s">
        <v>4485</v>
      </c>
      <c r="F776" s="916" t="s">
        <v>4486</v>
      </c>
      <c r="G776" s="915"/>
      <c r="H776" s="917">
        <v>500</v>
      </c>
      <c r="I776" s="918"/>
      <c r="J776" s="918"/>
    </row>
    <row r="777" spans="1:10">
      <c r="A777" t="s">
        <v>4597</v>
      </c>
      <c r="B777" s="915" t="s">
        <v>4483</v>
      </c>
      <c r="C777" s="915" t="str">
        <f t="shared" si="12"/>
        <v>6월</v>
      </c>
      <c r="D777" s="916" t="s">
        <v>4487</v>
      </c>
      <c r="E777" s="916" t="s">
        <v>4485</v>
      </c>
      <c r="F777" s="916" t="s">
        <v>4486</v>
      </c>
      <c r="G777" s="915"/>
      <c r="H777" s="917">
        <v>500</v>
      </c>
      <c r="I777" s="918"/>
      <c r="J777" s="918"/>
    </row>
    <row r="778" spans="1:10">
      <c r="A778" t="s">
        <v>4597</v>
      </c>
      <c r="B778" s="915" t="s">
        <v>4483</v>
      </c>
      <c r="C778" s="915" t="str">
        <f t="shared" si="12"/>
        <v>6월</v>
      </c>
      <c r="D778" s="916" t="s">
        <v>4488</v>
      </c>
      <c r="E778" s="916" t="s">
        <v>4489</v>
      </c>
      <c r="F778" s="916" t="s">
        <v>4490</v>
      </c>
      <c r="G778" s="915"/>
      <c r="H778" s="917">
        <v>500</v>
      </c>
      <c r="I778" s="918"/>
      <c r="J778" s="917">
        <v>15849293</v>
      </c>
    </row>
    <row r="779" spans="1:10">
      <c r="A779" t="s">
        <v>4597</v>
      </c>
      <c r="B779" s="915" t="s">
        <v>4338</v>
      </c>
      <c r="C779" s="915" t="str">
        <f t="shared" si="12"/>
        <v>6월</v>
      </c>
      <c r="D779" s="916" t="s">
        <v>4412</v>
      </c>
      <c r="E779" s="916"/>
      <c r="F779" s="916"/>
      <c r="G779" s="915"/>
      <c r="H779" s="917">
        <v>-20800</v>
      </c>
      <c r="I779" s="918"/>
      <c r="J779" s="918"/>
    </row>
    <row r="780" spans="1:10">
      <c r="A780" t="s">
        <v>4597</v>
      </c>
      <c r="B780" s="915" t="s">
        <v>4338</v>
      </c>
      <c r="C780" s="915" t="str">
        <f t="shared" si="12"/>
        <v>6월</v>
      </c>
      <c r="D780" s="916" t="s">
        <v>4484</v>
      </c>
      <c r="E780" s="916" t="s">
        <v>4489</v>
      </c>
      <c r="F780" s="916" t="s">
        <v>4490</v>
      </c>
      <c r="G780" s="915"/>
      <c r="H780" s="917">
        <v>500</v>
      </c>
      <c r="I780" s="918"/>
      <c r="J780" s="918"/>
    </row>
    <row r="781" spans="1:10">
      <c r="A781" t="s">
        <v>4597</v>
      </c>
      <c r="B781" s="915" t="s">
        <v>4338</v>
      </c>
      <c r="C781" s="915" t="str">
        <f t="shared" si="12"/>
        <v>6월</v>
      </c>
      <c r="D781" s="916" t="s">
        <v>4484</v>
      </c>
      <c r="E781" s="916" t="s">
        <v>4489</v>
      </c>
      <c r="F781" s="916" t="s">
        <v>4490</v>
      </c>
      <c r="G781" s="915"/>
      <c r="H781" s="917">
        <v>500</v>
      </c>
      <c r="I781" s="918"/>
      <c r="J781" s="918"/>
    </row>
    <row r="782" spans="1:10">
      <c r="A782" t="s">
        <v>4597</v>
      </c>
      <c r="B782" s="915" t="s">
        <v>4338</v>
      </c>
      <c r="C782" s="915" t="str">
        <f t="shared" si="12"/>
        <v>6월</v>
      </c>
      <c r="D782" s="916" t="s">
        <v>4394</v>
      </c>
      <c r="E782" s="916" t="s">
        <v>4369</v>
      </c>
      <c r="F782" s="916" t="s">
        <v>4370</v>
      </c>
      <c r="G782" s="915"/>
      <c r="H782" s="917">
        <v>15042</v>
      </c>
      <c r="I782" s="918"/>
      <c r="J782" s="918"/>
    </row>
    <row r="783" spans="1:10" ht="33.75">
      <c r="A783" t="s">
        <v>4597</v>
      </c>
      <c r="B783" s="915" t="s">
        <v>4338</v>
      </c>
      <c r="C783" s="915" t="str">
        <f t="shared" si="12"/>
        <v>6월</v>
      </c>
      <c r="D783" s="916" t="s">
        <v>4380</v>
      </c>
      <c r="E783" s="916" t="s">
        <v>4381</v>
      </c>
      <c r="F783" s="916" t="s">
        <v>4382</v>
      </c>
      <c r="G783" s="915" t="s">
        <v>4383</v>
      </c>
      <c r="H783" s="917">
        <v>66000</v>
      </c>
      <c r="I783" s="918"/>
      <c r="J783" s="917">
        <v>15910535</v>
      </c>
    </row>
    <row r="784" spans="1:10">
      <c r="A784" t="s">
        <v>4597</v>
      </c>
      <c r="B784" s="915" t="s">
        <v>4190</v>
      </c>
      <c r="C784" s="915" t="str">
        <f t="shared" si="12"/>
        <v>6월</v>
      </c>
      <c r="D784" s="916" t="s">
        <v>4395</v>
      </c>
      <c r="E784" s="916" t="s">
        <v>4365</v>
      </c>
      <c r="F784" s="916" t="s">
        <v>4366</v>
      </c>
      <c r="G784" s="915"/>
      <c r="H784" s="917">
        <v>7200</v>
      </c>
      <c r="I784" s="918"/>
      <c r="J784" s="917">
        <v>15917735</v>
      </c>
    </row>
    <row r="785" spans="1:10">
      <c r="A785" t="s">
        <v>4597</v>
      </c>
      <c r="B785" s="915" t="s">
        <v>4035</v>
      </c>
      <c r="C785" s="915" t="str">
        <f t="shared" si="12"/>
        <v>6월</v>
      </c>
      <c r="D785" s="916" t="s">
        <v>4389</v>
      </c>
      <c r="E785" s="916" t="s">
        <v>4390</v>
      </c>
      <c r="F785" s="916" t="s">
        <v>4391</v>
      </c>
      <c r="G785" s="915" t="s">
        <v>4392</v>
      </c>
      <c r="H785" s="917">
        <v>451000</v>
      </c>
      <c r="I785" s="918"/>
      <c r="J785" s="918"/>
    </row>
    <row r="786" spans="1:10">
      <c r="A786" t="s">
        <v>4597</v>
      </c>
      <c r="B786" s="915" t="s">
        <v>4035</v>
      </c>
      <c r="C786" s="915" t="str">
        <f t="shared" si="12"/>
        <v>6월</v>
      </c>
      <c r="D786" s="916" t="s">
        <v>4491</v>
      </c>
      <c r="E786" s="916"/>
      <c r="F786" s="916" t="s">
        <v>3986</v>
      </c>
      <c r="G786" s="915"/>
      <c r="H786" s="917">
        <v>13000</v>
      </c>
      <c r="I786" s="918"/>
      <c r="J786" s="917">
        <v>16381735</v>
      </c>
    </row>
    <row r="787" spans="1:10">
      <c r="A787" t="s">
        <v>4597</v>
      </c>
      <c r="B787" s="915" t="s">
        <v>3608</v>
      </c>
      <c r="C787" s="915" t="str">
        <f t="shared" si="12"/>
        <v>6월</v>
      </c>
      <c r="D787" s="916" t="s">
        <v>4395</v>
      </c>
      <c r="E787" s="916" t="s">
        <v>4365</v>
      </c>
      <c r="F787" s="916" t="s">
        <v>4366</v>
      </c>
      <c r="G787" s="915"/>
      <c r="H787" s="917">
        <v>1160</v>
      </c>
      <c r="I787" s="918"/>
      <c r="J787" s="917">
        <v>16382895</v>
      </c>
    </row>
    <row r="788" spans="1:10">
      <c r="A788" t="s">
        <v>4597</v>
      </c>
      <c r="B788" s="915" t="s">
        <v>4492</v>
      </c>
      <c r="C788" s="915" t="str">
        <f t="shared" si="12"/>
        <v>6월</v>
      </c>
      <c r="D788" s="916" t="s">
        <v>4493</v>
      </c>
      <c r="E788" s="916" t="s">
        <v>4369</v>
      </c>
      <c r="F788" s="916" t="s">
        <v>4370</v>
      </c>
      <c r="G788" s="915"/>
      <c r="H788" s="917">
        <v>385</v>
      </c>
      <c r="I788" s="918"/>
      <c r="J788" s="918"/>
    </row>
    <row r="789" spans="1:10">
      <c r="A789" t="s">
        <v>4597</v>
      </c>
      <c r="B789" s="915" t="s">
        <v>4492</v>
      </c>
      <c r="C789" s="915" t="str">
        <f t="shared" si="12"/>
        <v>6월</v>
      </c>
      <c r="D789" s="916" t="s">
        <v>4394</v>
      </c>
      <c r="E789" s="916" t="s">
        <v>4369</v>
      </c>
      <c r="F789" s="916" t="s">
        <v>4370</v>
      </c>
      <c r="G789" s="915"/>
      <c r="H789" s="917">
        <v>21967</v>
      </c>
      <c r="I789" s="918"/>
      <c r="J789" s="917">
        <v>16405247</v>
      </c>
    </row>
    <row r="790" spans="1:10">
      <c r="A790" t="s">
        <v>4597</v>
      </c>
      <c r="B790" s="915" t="s">
        <v>3887</v>
      </c>
      <c r="C790" s="915" t="str">
        <f t="shared" si="12"/>
        <v>6월</v>
      </c>
      <c r="D790" s="916" t="s">
        <v>4416</v>
      </c>
      <c r="E790" s="916" t="s">
        <v>4438</v>
      </c>
      <c r="F790" s="916" t="s">
        <v>4439</v>
      </c>
      <c r="G790" s="915"/>
      <c r="H790" s="917">
        <v>220</v>
      </c>
      <c r="I790" s="918"/>
      <c r="J790" s="917">
        <v>16405467</v>
      </c>
    </row>
    <row r="791" spans="1:10">
      <c r="A791" t="s">
        <v>4597</v>
      </c>
      <c r="B791" s="915" t="s">
        <v>3754</v>
      </c>
      <c r="C791" s="915" t="str">
        <f t="shared" si="12"/>
        <v>6월</v>
      </c>
      <c r="D791" s="916" t="s">
        <v>4395</v>
      </c>
      <c r="E791" s="916" t="s">
        <v>4365</v>
      </c>
      <c r="F791" s="916" t="s">
        <v>4366</v>
      </c>
      <c r="G791" s="915"/>
      <c r="H791" s="917">
        <v>218100</v>
      </c>
      <c r="I791" s="918"/>
      <c r="J791" s="917">
        <v>16623567</v>
      </c>
    </row>
    <row r="792" spans="1:10">
      <c r="A792" t="s">
        <v>4597</v>
      </c>
      <c r="B792" s="915" t="s">
        <v>4049</v>
      </c>
      <c r="C792" s="915" t="str">
        <f t="shared" si="12"/>
        <v>6월</v>
      </c>
      <c r="D792" s="916" t="s">
        <v>4412</v>
      </c>
      <c r="E792" s="916"/>
      <c r="F792" s="916"/>
      <c r="G792" s="915"/>
      <c r="H792" s="917">
        <v>-9260</v>
      </c>
      <c r="I792" s="918"/>
      <c r="J792" s="917">
        <v>16614307</v>
      </c>
    </row>
    <row r="793" spans="1:10">
      <c r="A793" t="s">
        <v>4597</v>
      </c>
      <c r="B793" s="915" t="s">
        <v>3613</v>
      </c>
      <c r="C793" s="915" t="str">
        <f t="shared" si="12"/>
        <v>6월</v>
      </c>
      <c r="D793" s="916" t="s">
        <v>4421</v>
      </c>
      <c r="E793" s="916" t="s">
        <v>4400</v>
      </c>
      <c r="F793" s="916" t="s">
        <v>4401</v>
      </c>
      <c r="G793" s="915"/>
      <c r="H793" s="917">
        <v>240</v>
      </c>
      <c r="I793" s="918"/>
      <c r="J793" s="918"/>
    </row>
    <row r="794" spans="1:10">
      <c r="A794" t="s">
        <v>4597</v>
      </c>
      <c r="B794" s="915" t="s">
        <v>3613</v>
      </c>
      <c r="C794" s="915" t="str">
        <f t="shared" si="12"/>
        <v>6월</v>
      </c>
      <c r="D794" s="916" t="s">
        <v>4394</v>
      </c>
      <c r="E794" s="916" t="s">
        <v>4369</v>
      </c>
      <c r="F794" s="916" t="s">
        <v>4370</v>
      </c>
      <c r="G794" s="915"/>
      <c r="H794" s="917">
        <v>35904</v>
      </c>
      <c r="I794" s="918"/>
      <c r="J794" s="918"/>
    </row>
    <row r="795" spans="1:10">
      <c r="A795" t="s">
        <v>4597</v>
      </c>
      <c r="B795" s="915" t="s">
        <v>3613</v>
      </c>
      <c r="C795" s="915" t="str">
        <f t="shared" si="12"/>
        <v>6월</v>
      </c>
      <c r="D795" s="916" t="s">
        <v>4416</v>
      </c>
      <c r="E795" s="916" t="s">
        <v>4438</v>
      </c>
      <c r="F795" s="916" t="s">
        <v>4439</v>
      </c>
      <c r="G795" s="915"/>
      <c r="H795" s="917">
        <v>2684</v>
      </c>
      <c r="I795" s="918"/>
      <c r="J795" s="918"/>
    </row>
    <row r="796" spans="1:10">
      <c r="A796" t="s">
        <v>4597</v>
      </c>
      <c r="B796" s="915" t="s">
        <v>3613</v>
      </c>
      <c r="C796" s="915" t="str">
        <f t="shared" si="12"/>
        <v>6월</v>
      </c>
      <c r="D796" s="916" t="s">
        <v>4494</v>
      </c>
      <c r="E796" s="916" t="s">
        <v>4390</v>
      </c>
      <c r="F796" s="916" t="s">
        <v>4391</v>
      </c>
      <c r="G796" s="915" t="s">
        <v>4392</v>
      </c>
      <c r="H796" s="917">
        <v>-150320</v>
      </c>
      <c r="I796" s="918"/>
      <c r="J796" s="918"/>
    </row>
    <row r="797" spans="1:10">
      <c r="A797" t="s">
        <v>4597</v>
      </c>
      <c r="B797" s="915" t="s">
        <v>3613</v>
      </c>
      <c r="C797" s="915" t="str">
        <f t="shared" si="12"/>
        <v>6월</v>
      </c>
      <c r="D797" s="916" t="s">
        <v>4495</v>
      </c>
      <c r="E797" s="916" t="s">
        <v>4390</v>
      </c>
      <c r="F797" s="916" t="s">
        <v>4391</v>
      </c>
      <c r="G797" s="915" t="s">
        <v>4392</v>
      </c>
      <c r="H797" s="917">
        <v>-75160</v>
      </c>
      <c r="I797" s="918"/>
      <c r="J797" s="917">
        <v>16427655</v>
      </c>
    </row>
    <row r="798" spans="1:10">
      <c r="A798" t="s">
        <v>4597</v>
      </c>
      <c r="B798" s="915" t="s">
        <v>3965</v>
      </c>
      <c r="C798" s="915" t="str">
        <f t="shared" si="12"/>
        <v>7월</v>
      </c>
      <c r="D798" s="916" t="s">
        <v>4496</v>
      </c>
      <c r="E798" s="916"/>
      <c r="F798" s="916" t="s">
        <v>4424</v>
      </c>
      <c r="G798" s="915"/>
      <c r="H798" s="917">
        <v>800</v>
      </c>
      <c r="I798" s="918"/>
      <c r="J798" s="918"/>
    </row>
    <row r="799" spans="1:10">
      <c r="A799" t="s">
        <v>4597</v>
      </c>
      <c r="B799" s="915" t="s">
        <v>3965</v>
      </c>
      <c r="C799" s="915" t="str">
        <f t="shared" si="12"/>
        <v>7월</v>
      </c>
      <c r="D799" s="916" t="s">
        <v>4395</v>
      </c>
      <c r="E799" s="916" t="s">
        <v>4365</v>
      </c>
      <c r="F799" s="916" t="s">
        <v>4366</v>
      </c>
      <c r="G799" s="915"/>
      <c r="H799" s="917">
        <v>27780</v>
      </c>
      <c r="I799" s="918"/>
      <c r="J799" s="917">
        <v>16456235</v>
      </c>
    </row>
    <row r="800" spans="1:10">
      <c r="A800" t="s">
        <v>4597</v>
      </c>
      <c r="B800" s="915" t="s">
        <v>4497</v>
      </c>
      <c r="C800" s="915" t="str">
        <f t="shared" si="12"/>
        <v>7월</v>
      </c>
      <c r="D800" s="916" t="s">
        <v>4498</v>
      </c>
      <c r="E800" s="916" t="s">
        <v>4202</v>
      </c>
      <c r="F800" s="916" t="s">
        <v>4203</v>
      </c>
      <c r="G800" s="915" t="s">
        <v>4204</v>
      </c>
      <c r="H800" s="917">
        <v>-75160</v>
      </c>
      <c r="I800" s="918"/>
      <c r="J800" s="917">
        <v>16381075</v>
      </c>
    </row>
    <row r="801" spans="1:10">
      <c r="A801" t="s">
        <v>4597</v>
      </c>
      <c r="B801" s="915" t="s">
        <v>4499</v>
      </c>
      <c r="C801" s="915" t="str">
        <f t="shared" si="12"/>
        <v>7월</v>
      </c>
      <c r="D801" s="916" t="s">
        <v>4395</v>
      </c>
      <c r="E801" s="916" t="s">
        <v>4365</v>
      </c>
      <c r="F801" s="916" t="s">
        <v>4366</v>
      </c>
      <c r="G801" s="915"/>
      <c r="H801" s="917">
        <v>24400</v>
      </c>
      <c r="I801" s="918"/>
      <c r="J801" s="918"/>
    </row>
    <row r="802" spans="1:10">
      <c r="A802" t="s">
        <v>4597</v>
      </c>
      <c r="B802" s="915" t="s">
        <v>4499</v>
      </c>
      <c r="C802" s="915" t="str">
        <f t="shared" si="12"/>
        <v>7월</v>
      </c>
      <c r="D802" s="916" t="s">
        <v>4500</v>
      </c>
      <c r="E802" s="916" t="s">
        <v>4489</v>
      </c>
      <c r="F802" s="916" t="s">
        <v>4501</v>
      </c>
      <c r="G802" s="915"/>
      <c r="H802" s="917">
        <v>500</v>
      </c>
      <c r="I802" s="918"/>
      <c r="J802" s="918"/>
    </row>
    <row r="803" spans="1:10">
      <c r="A803" t="s">
        <v>4597</v>
      </c>
      <c r="B803" s="915" t="s">
        <v>4499</v>
      </c>
      <c r="C803" s="915" t="str">
        <f t="shared" si="12"/>
        <v>7월</v>
      </c>
      <c r="D803" s="916" t="s">
        <v>4502</v>
      </c>
      <c r="E803" s="916" t="s">
        <v>4489</v>
      </c>
      <c r="F803" s="916" t="s">
        <v>4490</v>
      </c>
      <c r="G803" s="915"/>
      <c r="H803" s="917">
        <v>500</v>
      </c>
      <c r="I803" s="918"/>
      <c r="J803" s="917">
        <v>16406475</v>
      </c>
    </row>
    <row r="804" spans="1:10">
      <c r="A804" t="s">
        <v>4597</v>
      </c>
      <c r="B804" s="915" t="s">
        <v>3761</v>
      </c>
      <c r="C804" s="915" t="str">
        <f t="shared" si="12"/>
        <v>7월</v>
      </c>
      <c r="D804" s="916" t="s">
        <v>4412</v>
      </c>
      <c r="E804" s="916"/>
      <c r="F804" s="916"/>
      <c r="G804" s="915"/>
      <c r="H804" s="917">
        <v>-19480</v>
      </c>
      <c r="I804" s="918"/>
      <c r="J804" s="917">
        <v>16386995</v>
      </c>
    </row>
    <row r="805" spans="1:10">
      <c r="A805" t="s">
        <v>4597</v>
      </c>
      <c r="B805" s="915" t="s">
        <v>4503</v>
      </c>
      <c r="C805" s="915" t="str">
        <f t="shared" si="12"/>
        <v>7월</v>
      </c>
      <c r="D805" s="916" t="s">
        <v>4479</v>
      </c>
      <c r="E805" s="916" t="s">
        <v>4369</v>
      </c>
      <c r="F805" s="916" t="s">
        <v>4370</v>
      </c>
      <c r="G805" s="915"/>
      <c r="H805" s="917">
        <v>385</v>
      </c>
      <c r="I805" s="918"/>
      <c r="J805" s="918"/>
    </row>
    <row r="806" spans="1:10">
      <c r="A806" t="s">
        <v>4597</v>
      </c>
      <c r="B806" s="915" t="s">
        <v>4503</v>
      </c>
      <c r="C806" s="915" t="str">
        <f t="shared" si="12"/>
        <v>7월</v>
      </c>
      <c r="D806" s="916" t="s">
        <v>4394</v>
      </c>
      <c r="E806" s="916" t="s">
        <v>4369</v>
      </c>
      <c r="F806" s="916" t="s">
        <v>4370</v>
      </c>
      <c r="G806" s="915"/>
      <c r="H806" s="917">
        <v>9460</v>
      </c>
      <c r="I806" s="918"/>
      <c r="J806" s="917">
        <v>16396840</v>
      </c>
    </row>
    <row r="807" spans="1:10">
      <c r="A807" t="s">
        <v>4597</v>
      </c>
      <c r="B807" s="915" t="s">
        <v>3763</v>
      </c>
      <c r="C807" s="915" t="str">
        <f t="shared" si="12"/>
        <v>7월</v>
      </c>
      <c r="D807" s="916" t="s">
        <v>4504</v>
      </c>
      <c r="E807" s="916" t="s">
        <v>4373</v>
      </c>
      <c r="F807" s="916" t="s">
        <v>4374</v>
      </c>
      <c r="G807" s="915" t="s">
        <v>4375</v>
      </c>
      <c r="H807" s="917">
        <v>35000</v>
      </c>
      <c r="I807" s="918"/>
      <c r="J807" s="917">
        <v>16431840</v>
      </c>
    </row>
    <row r="808" spans="1:10">
      <c r="A808" t="s">
        <v>4597</v>
      </c>
      <c r="B808" s="915" t="s">
        <v>4342</v>
      </c>
      <c r="C808" s="915" t="str">
        <f t="shared" si="12"/>
        <v>7월</v>
      </c>
      <c r="D808" s="916" t="s">
        <v>4505</v>
      </c>
      <c r="E808" s="916" t="s">
        <v>4506</v>
      </c>
      <c r="F808" s="916" t="s">
        <v>4507</v>
      </c>
      <c r="G808" s="915" t="s">
        <v>4508</v>
      </c>
      <c r="H808" s="917">
        <v>398000</v>
      </c>
      <c r="I808" s="918"/>
      <c r="J808" s="918"/>
    </row>
    <row r="809" spans="1:10">
      <c r="A809" t="s">
        <v>4597</v>
      </c>
      <c r="B809" s="915" t="s">
        <v>4342</v>
      </c>
      <c r="C809" s="915" t="str">
        <f t="shared" si="12"/>
        <v>7월</v>
      </c>
      <c r="D809" s="916" t="s">
        <v>4395</v>
      </c>
      <c r="E809" s="916" t="s">
        <v>4365</v>
      </c>
      <c r="F809" s="916" t="s">
        <v>4366</v>
      </c>
      <c r="G809" s="915"/>
      <c r="H809" s="917">
        <v>26460</v>
      </c>
      <c r="I809" s="918"/>
      <c r="J809" s="917">
        <v>16856300</v>
      </c>
    </row>
    <row r="810" spans="1:10">
      <c r="A810" t="s">
        <v>4597</v>
      </c>
      <c r="B810" s="915" t="s">
        <v>4118</v>
      </c>
      <c r="C810" s="915" t="str">
        <f t="shared" si="12"/>
        <v>7월</v>
      </c>
      <c r="D810" s="916" t="s">
        <v>4389</v>
      </c>
      <c r="E810" s="916" t="s">
        <v>4390</v>
      </c>
      <c r="F810" s="916" t="s">
        <v>4391</v>
      </c>
      <c r="G810" s="915" t="s">
        <v>4392</v>
      </c>
      <c r="H810" s="917">
        <v>451000</v>
      </c>
      <c r="I810" s="918"/>
      <c r="J810" s="918"/>
    </row>
    <row r="811" spans="1:10" ht="33.75">
      <c r="A811" t="s">
        <v>4597</v>
      </c>
      <c r="B811" s="915" t="s">
        <v>4118</v>
      </c>
      <c r="C811" s="915" t="str">
        <f t="shared" si="12"/>
        <v>7월</v>
      </c>
      <c r="D811" s="916" t="s">
        <v>4380</v>
      </c>
      <c r="E811" s="916" t="s">
        <v>4381</v>
      </c>
      <c r="F811" s="916" t="s">
        <v>4382</v>
      </c>
      <c r="G811" s="915" t="s">
        <v>4383</v>
      </c>
      <c r="H811" s="917">
        <v>66000</v>
      </c>
      <c r="I811" s="918"/>
      <c r="J811" s="917">
        <v>17373300</v>
      </c>
    </row>
    <row r="812" spans="1:10">
      <c r="A812" t="s">
        <v>4597</v>
      </c>
      <c r="B812" s="915" t="s">
        <v>3767</v>
      </c>
      <c r="C812" s="915" t="str">
        <f t="shared" si="12"/>
        <v>7월</v>
      </c>
      <c r="D812" s="916" t="s">
        <v>4395</v>
      </c>
      <c r="E812" s="916" t="s">
        <v>4365</v>
      </c>
      <c r="F812" s="916" t="s">
        <v>4366</v>
      </c>
      <c r="G812" s="915"/>
      <c r="H812" s="917">
        <v>7680</v>
      </c>
      <c r="I812" s="918"/>
      <c r="J812" s="917">
        <v>17380980</v>
      </c>
    </row>
    <row r="813" spans="1:10">
      <c r="A813" t="s">
        <v>4597</v>
      </c>
      <c r="B813" s="915" t="s">
        <v>4266</v>
      </c>
      <c r="C813" s="915" t="str">
        <f t="shared" si="12"/>
        <v>7월</v>
      </c>
      <c r="D813" s="916" t="s">
        <v>4395</v>
      </c>
      <c r="E813" s="916" t="s">
        <v>4365</v>
      </c>
      <c r="F813" s="916" t="s">
        <v>4366</v>
      </c>
      <c r="G813" s="915"/>
      <c r="H813" s="917">
        <v>1280</v>
      </c>
      <c r="I813" s="918"/>
      <c r="J813" s="917">
        <v>17382260</v>
      </c>
    </row>
    <row r="814" spans="1:10">
      <c r="A814" t="s">
        <v>4597</v>
      </c>
      <c r="B814" s="915" t="s">
        <v>3772</v>
      </c>
      <c r="C814" s="915" t="str">
        <f t="shared" si="12"/>
        <v>7월</v>
      </c>
      <c r="D814" s="916" t="s">
        <v>4509</v>
      </c>
      <c r="E814" s="916"/>
      <c r="F814" s="916" t="s">
        <v>4510</v>
      </c>
      <c r="G814" s="915"/>
      <c r="H814" s="917">
        <v>25000</v>
      </c>
      <c r="I814" s="918"/>
      <c r="J814" s="917">
        <v>17407260</v>
      </c>
    </row>
    <row r="815" spans="1:10">
      <c r="A815" t="s">
        <v>4597</v>
      </c>
      <c r="B815" s="915" t="s">
        <v>3889</v>
      </c>
      <c r="C815" s="915" t="str">
        <f t="shared" si="12"/>
        <v>7월</v>
      </c>
      <c r="D815" s="916" t="s">
        <v>4416</v>
      </c>
      <c r="E815" s="916" t="s">
        <v>4438</v>
      </c>
      <c r="F815" s="916" t="s">
        <v>4439</v>
      </c>
      <c r="G815" s="915"/>
      <c r="H815" s="917">
        <v>89583</v>
      </c>
      <c r="I815" s="918"/>
      <c r="J815" s="917">
        <v>17496843</v>
      </c>
    </row>
    <row r="816" spans="1:10">
      <c r="A816" t="s">
        <v>4597</v>
      </c>
      <c r="B816" s="915" t="s">
        <v>3774</v>
      </c>
      <c r="C816" s="915" t="str">
        <f t="shared" si="12"/>
        <v>7월</v>
      </c>
      <c r="D816" s="916" t="s">
        <v>4395</v>
      </c>
      <c r="E816" s="916" t="s">
        <v>4365</v>
      </c>
      <c r="F816" s="916" t="s">
        <v>4366</v>
      </c>
      <c r="G816" s="915"/>
      <c r="H816" s="917">
        <v>207240</v>
      </c>
      <c r="I816" s="918"/>
      <c r="J816" s="917">
        <v>17704083</v>
      </c>
    </row>
    <row r="817" spans="1:10">
      <c r="A817" t="s">
        <v>4597</v>
      </c>
      <c r="B817" s="915" t="s">
        <v>3326</v>
      </c>
      <c r="C817" s="915" t="str">
        <f t="shared" si="12"/>
        <v>7월</v>
      </c>
      <c r="D817" s="916" t="s">
        <v>4412</v>
      </c>
      <c r="E817" s="916"/>
      <c r="F817" s="916"/>
      <c r="G817" s="915"/>
      <c r="H817" s="917">
        <v>-9860</v>
      </c>
      <c r="I817" s="918"/>
      <c r="J817" s="918"/>
    </row>
    <row r="818" spans="1:10">
      <c r="A818" t="s">
        <v>4597</v>
      </c>
      <c r="B818" s="915" t="s">
        <v>3326</v>
      </c>
      <c r="C818" s="915" t="str">
        <f t="shared" si="12"/>
        <v>7월</v>
      </c>
      <c r="D818" s="916" t="s">
        <v>4511</v>
      </c>
      <c r="E818" s="916" t="s">
        <v>4256</v>
      </c>
      <c r="F818" s="916" t="s">
        <v>4257</v>
      </c>
      <c r="G818" s="915"/>
      <c r="H818" s="917">
        <v>500</v>
      </c>
      <c r="I818" s="918"/>
      <c r="J818" s="917">
        <v>17694723</v>
      </c>
    </row>
    <row r="819" spans="1:10">
      <c r="A819" t="s">
        <v>4597</v>
      </c>
      <c r="B819" s="915" t="s">
        <v>3969</v>
      </c>
      <c r="C819" s="915" t="str">
        <f t="shared" si="12"/>
        <v>7월</v>
      </c>
      <c r="D819" s="916" t="s">
        <v>4421</v>
      </c>
      <c r="E819" s="916" t="s">
        <v>4400</v>
      </c>
      <c r="F819" s="916" t="s">
        <v>4401</v>
      </c>
      <c r="G819" s="915"/>
      <c r="H819" s="917">
        <v>240</v>
      </c>
      <c r="I819" s="918"/>
      <c r="J819" s="917">
        <v>17694963</v>
      </c>
    </row>
    <row r="820" spans="1:10">
      <c r="A820" t="s">
        <v>4597</v>
      </c>
      <c r="B820" s="915" t="s">
        <v>3776</v>
      </c>
      <c r="C820" s="915" t="str">
        <f t="shared" si="12"/>
        <v>7월</v>
      </c>
      <c r="D820" s="916" t="s">
        <v>4512</v>
      </c>
      <c r="E820" s="916" t="s">
        <v>4160</v>
      </c>
      <c r="F820" s="916" t="s">
        <v>4161</v>
      </c>
      <c r="G820" s="915" t="s">
        <v>4162</v>
      </c>
      <c r="H820" s="917">
        <v>-150320</v>
      </c>
      <c r="I820" s="918"/>
      <c r="J820" s="918"/>
    </row>
    <row r="821" spans="1:10">
      <c r="A821" t="s">
        <v>4597</v>
      </c>
      <c r="B821" s="915" t="s">
        <v>3776</v>
      </c>
      <c r="C821" s="915" t="str">
        <f t="shared" si="12"/>
        <v>7월</v>
      </c>
      <c r="D821" s="916" t="s">
        <v>4416</v>
      </c>
      <c r="E821" s="916" t="s">
        <v>4438</v>
      </c>
      <c r="F821" s="916" t="s">
        <v>4439</v>
      </c>
      <c r="G821" s="915"/>
      <c r="H821" s="917">
        <v>58564</v>
      </c>
      <c r="I821" s="918"/>
      <c r="J821" s="918"/>
    </row>
    <row r="822" spans="1:10">
      <c r="A822" t="s">
        <v>4597</v>
      </c>
      <c r="B822" s="915" t="s">
        <v>3776</v>
      </c>
      <c r="C822" s="915" t="str">
        <f t="shared" si="12"/>
        <v>7월</v>
      </c>
      <c r="D822" s="916" t="s">
        <v>4513</v>
      </c>
      <c r="E822" s="916" t="s">
        <v>4197</v>
      </c>
      <c r="F822" s="916" t="s">
        <v>4198</v>
      </c>
      <c r="G822" s="915" t="s">
        <v>4199</v>
      </c>
      <c r="H822" s="917">
        <v>-75160</v>
      </c>
      <c r="I822" s="918"/>
      <c r="J822" s="918"/>
    </row>
    <row r="823" spans="1:10">
      <c r="A823" t="s">
        <v>4597</v>
      </c>
      <c r="B823" s="915" t="s">
        <v>3776</v>
      </c>
      <c r="C823" s="915" t="str">
        <f t="shared" si="12"/>
        <v>7월</v>
      </c>
      <c r="D823" s="916" t="s">
        <v>4500</v>
      </c>
      <c r="E823" s="916" t="s">
        <v>4489</v>
      </c>
      <c r="F823" s="916" t="s">
        <v>4501</v>
      </c>
      <c r="G823" s="915"/>
      <c r="H823" s="917">
        <v>500</v>
      </c>
      <c r="I823" s="918"/>
      <c r="J823" s="918"/>
    </row>
    <row r="824" spans="1:10">
      <c r="A824" t="s">
        <v>4597</v>
      </c>
      <c r="B824" s="915" t="s">
        <v>3776</v>
      </c>
      <c r="C824" s="915" t="str">
        <f t="shared" si="12"/>
        <v>7월</v>
      </c>
      <c r="D824" s="916" t="s">
        <v>4514</v>
      </c>
      <c r="E824" s="916" t="s">
        <v>4489</v>
      </c>
      <c r="F824" s="916" t="s">
        <v>4501</v>
      </c>
      <c r="G824" s="915"/>
      <c r="H824" s="917">
        <v>500</v>
      </c>
      <c r="I824" s="918"/>
      <c r="J824" s="918"/>
    </row>
    <row r="825" spans="1:10">
      <c r="A825" t="s">
        <v>4597</v>
      </c>
      <c r="B825" s="915" t="s">
        <v>3776</v>
      </c>
      <c r="C825" s="915" t="str">
        <f t="shared" si="12"/>
        <v>7월</v>
      </c>
      <c r="D825" s="916" t="s">
        <v>4515</v>
      </c>
      <c r="E825" s="916" t="s">
        <v>4489</v>
      </c>
      <c r="F825" s="916" t="s">
        <v>4501</v>
      </c>
      <c r="G825" s="915"/>
      <c r="H825" s="917">
        <v>500</v>
      </c>
      <c r="I825" s="918"/>
      <c r="J825" s="918"/>
    </row>
    <row r="826" spans="1:10">
      <c r="A826" t="s">
        <v>4597</v>
      </c>
      <c r="B826" s="915" t="s">
        <v>3776</v>
      </c>
      <c r="C826" s="915" t="str">
        <f t="shared" si="12"/>
        <v>7월</v>
      </c>
      <c r="D826" s="916" t="s">
        <v>4516</v>
      </c>
      <c r="E826" s="916" t="s">
        <v>4489</v>
      </c>
      <c r="F826" s="916" t="s">
        <v>4501</v>
      </c>
      <c r="G826" s="915"/>
      <c r="H826" s="917">
        <v>500</v>
      </c>
      <c r="I826" s="918"/>
      <c r="J826" s="917">
        <v>17530047</v>
      </c>
    </row>
    <row r="827" spans="1:10">
      <c r="A827" t="s">
        <v>4597</v>
      </c>
      <c r="B827" s="915" t="s">
        <v>4200</v>
      </c>
      <c r="C827" s="915" t="str">
        <f t="shared" si="12"/>
        <v>8월</v>
      </c>
      <c r="D827" s="916" t="s">
        <v>4517</v>
      </c>
      <c r="E827" s="916" t="s">
        <v>4202</v>
      </c>
      <c r="F827" s="916" t="s">
        <v>4203</v>
      </c>
      <c r="G827" s="915" t="s">
        <v>4204</v>
      </c>
      <c r="H827" s="917">
        <v>-75160</v>
      </c>
      <c r="I827" s="918"/>
      <c r="J827" s="917">
        <v>17454887</v>
      </c>
    </row>
    <row r="828" spans="1:10">
      <c r="A828" t="s">
        <v>4597</v>
      </c>
      <c r="B828" s="915" t="s">
        <v>4518</v>
      </c>
      <c r="C828" s="915" t="str">
        <f t="shared" si="12"/>
        <v>8월</v>
      </c>
      <c r="D828" s="916" t="s">
        <v>4395</v>
      </c>
      <c r="E828" s="916" t="s">
        <v>4365</v>
      </c>
      <c r="F828" s="916" t="s">
        <v>4366</v>
      </c>
      <c r="G828" s="915"/>
      <c r="H828" s="917">
        <v>26640</v>
      </c>
      <c r="I828" s="918"/>
      <c r="J828" s="917">
        <v>17481527</v>
      </c>
    </row>
    <row r="829" spans="1:10">
      <c r="A829" t="s">
        <v>4597</v>
      </c>
      <c r="B829" s="915" t="s">
        <v>4519</v>
      </c>
      <c r="C829" s="915" t="str">
        <f t="shared" si="12"/>
        <v>8월</v>
      </c>
      <c r="D829" s="916" t="s">
        <v>4479</v>
      </c>
      <c r="E829" s="916" t="s">
        <v>4369</v>
      </c>
      <c r="F829" s="916" t="s">
        <v>4370</v>
      </c>
      <c r="G829" s="915"/>
      <c r="H829" s="917">
        <v>385</v>
      </c>
      <c r="I829" s="918"/>
      <c r="J829" s="918"/>
    </row>
    <row r="830" spans="1:10">
      <c r="A830" t="s">
        <v>4597</v>
      </c>
      <c r="B830" s="915" t="s">
        <v>4519</v>
      </c>
      <c r="C830" s="915" t="str">
        <f t="shared" si="12"/>
        <v>8월</v>
      </c>
      <c r="D830" s="916" t="s">
        <v>4520</v>
      </c>
      <c r="E830" s="916" t="s">
        <v>4369</v>
      </c>
      <c r="F830" s="916" t="s">
        <v>4370</v>
      </c>
      <c r="G830" s="915"/>
      <c r="H830" s="917">
        <v>374</v>
      </c>
      <c r="I830" s="918"/>
      <c r="J830" s="918"/>
    </row>
    <row r="831" spans="1:10">
      <c r="A831" t="s">
        <v>4597</v>
      </c>
      <c r="B831" s="915" t="s">
        <v>4519</v>
      </c>
      <c r="C831" s="915" t="str">
        <f t="shared" si="12"/>
        <v>8월</v>
      </c>
      <c r="D831" s="916" t="s">
        <v>4395</v>
      </c>
      <c r="E831" s="916" t="s">
        <v>4365</v>
      </c>
      <c r="F831" s="916" t="s">
        <v>4366</v>
      </c>
      <c r="G831" s="915"/>
      <c r="H831" s="917">
        <v>24480</v>
      </c>
      <c r="I831" s="918"/>
      <c r="J831" s="917">
        <v>17506766</v>
      </c>
    </row>
    <row r="832" spans="1:10">
      <c r="A832" t="s">
        <v>4597</v>
      </c>
      <c r="B832" s="915" t="s">
        <v>4521</v>
      </c>
      <c r="C832" s="915" t="str">
        <f t="shared" si="12"/>
        <v>8월</v>
      </c>
      <c r="D832" s="916" t="s">
        <v>4522</v>
      </c>
      <c r="E832" s="916" t="s">
        <v>4373</v>
      </c>
      <c r="F832" s="916" t="s">
        <v>4374</v>
      </c>
      <c r="G832" s="915" t="s">
        <v>4375</v>
      </c>
      <c r="H832" s="917">
        <v>35000</v>
      </c>
      <c r="I832" s="918"/>
      <c r="J832" s="918"/>
    </row>
    <row r="833" spans="1:10">
      <c r="A833" t="s">
        <v>4597</v>
      </c>
      <c r="B833" s="915" t="s">
        <v>4521</v>
      </c>
      <c r="C833" s="915" t="str">
        <f t="shared" si="12"/>
        <v>8월</v>
      </c>
      <c r="D833" s="916" t="s">
        <v>4523</v>
      </c>
      <c r="E833" s="916" t="s">
        <v>4400</v>
      </c>
      <c r="F833" s="916" t="s">
        <v>4401</v>
      </c>
      <c r="G833" s="915"/>
      <c r="H833" s="917">
        <v>240</v>
      </c>
      <c r="I833" s="918"/>
      <c r="J833" s="917">
        <v>17542006</v>
      </c>
    </row>
    <row r="834" spans="1:10">
      <c r="A834" t="s">
        <v>4597</v>
      </c>
      <c r="B834" s="915" t="s">
        <v>4524</v>
      </c>
      <c r="C834" s="915" t="str">
        <f t="shared" si="12"/>
        <v>8월</v>
      </c>
      <c r="D834" s="916" t="s">
        <v>4395</v>
      </c>
      <c r="E834" s="916" t="s">
        <v>4365</v>
      </c>
      <c r="F834" s="916" t="s">
        <v>4366</v>
      </c>
      <c r="G834" s="915"/>
      <c r="H834" s="917">
        <v>26640</v>
      </c>
      <c r="I834" s="918"/>
      <c r="J834" s="917">
        <v>17568646</v>
      </c>
    </row>
    <row r="835" spans="1:10" ht="33.75">
      <c r="A835" t="s">
        <v>4597</v>
      </c>
      <c r="B835" s="915" t="s">
        <v>4525</v>
      </c>
      <c r="C835" s="915" t="str">
        <f t="shared" ref="C835:C898" si="13">MONTH(B835)&amp;"월"</f>
        <v>8월</v>
      </c>
      <c r="D835" s="916" t="s">
        <v>4380</v>
      </c>
      <c r="E835" s="916" t="s">
        <v>4381</v>
      </c>
      <c r="F835" s="916" t="s">
        <v>4382</v>
      </c>
      <c r="G835" s="915" t="s">
        <v>4383</v>
      </c>
      <c r="H835" s="917">
        <v>69410</v>
      </c>
      <c r="I835" s="918"/>
      <c r="J835" s="917">
        <v>17638056</v>
      </c>
    </row>
    <row r="836" spans="1:10">
      <c r="A836" t="s">
        <v>4597</v>
      </c>
      <c r="B836" s="915" t="s">
        <v>4269</v>
      </c>
      <c r="C836" s="915" t="str">
        <f t="shared" si="13"/>
        <v>8월</v>
      </c>
      <c r="D836" s="916" t="s">
        <v>4389</v>
      </c>
      <c r="E836" s="916" t="s">
        <v>4390</v>
      </c>
      <c r="F836" s="916" t="s">
        <v>4391</v>
      </c>
      <c r="G836" s="915" t="s">
        <v>4392</v>
      </c>
      <c r="H836" s="917">
        <v>451000</v>
      </c>
      <c r="I836" s="918"/>
      <c r="J836" s="918"/>
    </row>
    <row r="837" spans="1:10">
      <c r="A837" t="s">
        <v>4597</v>
      </c>
      <c r="B837" s="915" t="s">
        <v>4269</v>
      </c>
      <c r="C837" s="915" t="str">
        <f t="shared" si="13"/>
        <v>8월</v>
      </c>
      <c r="D837" s="916" t="s">
        <v>4395</v>
      </c>
      <c r="E837" s="916" t="s">
        <v>4365</v>
      </c>
      <c r="F837" s="916" t="s">
        <v>4366</v>
      </c>
      <c r="G837" s="915"/>
      <c r="H837" s="917">
        <v>7200</v>
      </c>
      <c r="I837" s="918"/>
      <c r="J837" s="917">
        <v>18096256</v>
      </c>
    </row>
    <row r="838" spans="1:10">
      <c r="A838" t="s">
        <v>4597</v>
      </c>
      <c r="B838" s="915" t="s">
        <v>4526</v>
      </c>
      <c r="C838" s="915" t="str">
        <f t="shared" si="13"/>
        <v>8월</v>
      </c>
      <c r="D838" s="916" t="s">
        <v>4412</v>
      </c>
      <c r="E838" s="916"/>
      <c r="F838" s="916"/>
      <c r="G838" s="915"/>
      <c r="H838" s="917">
        <v>-19460</v>
      </c>
      <c r="I838" s="918"/>
      <c r="J838" s="917">
        <v>18076796</v>
      </c>
    </row>
    <row r="839" spans="1:10">
      <c r="A839" t="s">
        <v>4597</v>
      </c>
      <c r="B839" s="915" t="s">
        <v>4142</v>
      </c>
      <c r="C839" s="915" t="str">
        <f t="shared" si="13"/>
        <v>8월</v>
      </c>
      <c r="D839" s="916" t="s">
        <v>4516</v>
      </c>
      <c r="E839" s="916" t="s">
        <v>4489</v>
      </c>
      <c r="F839" s="916" t="s">
        <v>4501</v>
      </c>
      <c r="G839" s="915"/>
      <c r="H839" s="917">
        <v>500</v>
      </c>
      <c r="I839" s="918"/>
      <c r="J839" s="918"/>
    </row>
    <row r="840" spans="1:10">
      <c r="A840" t="s">
        <v>4597</v>
      </c>
      <c r="B840" s="915" t="s">
        <v>4142</v>
      </c>
      <c r="C840" s="915" t="str">
        <f t="shared" si="13"/>
        <v>8월</v>
      </c>
      <c r="D840" s="916" t="s">
        <v>4514</v>
      </c>
      <c r="E840" s="916" t="s">
        <v>4489</v>
      </c>
      <c r="F840" s="916" t="s">
        <v>4501</v>
      </c>
      <c r="G840" s="915"/>
      <c r="H840" s="917">
        <v>500</v>
      </c>
      <c r="I840" s="918"/>
      <c r="J840" s="917">
        <v>18077796</v>
      </c>
    </row>
    <row r="841" spans="1:10">
      <c r="A841" t="s">
        <v>4597</v>
      </c>
      <c r="B841" s="915" t="s">
        <v>4527</v>
      </c>
      <c r="C841" s="915" t="str">
        <f t="shared" si="13"/>
        <v>8월</v>
      </c>
      <c r="D841" s="916" t="s">
        <v>4395</v>
      </c>
      <c r="E841" s="916" t="s">
        <v>4365</v>
      </c>
      <c r="F841" s="916" t="s">
        <v>4366</v>
      </c>
      <c r="G841" s="915"/>
      <c r="H841" s="917">
        <v>1140</v>
      </c>
      <c r="I841" s="918"/>
      <c r="J841" s="918"/>
    </row>
    <row r="842" spans="1:10">
      <c r="A842" t="s">
        <v>4597</v>
      </c>
      <c r="B842" s="915" t="s">
        <v>4527</v>
      </c>
      <c r="C842" s="915" t="str">
        <f t="shared" si="13"/>
        <v>8월</v>
      </c>
      <c r="D842" s="916" t="s">
        <v>4528</v>
      </c>
      <c r="E842" s="916" t="s">
        <v>4369</v>
      </c>
      <c r="F842" s="916" t="s">
        <v>4370</v>
      </c>
      <c r="G842" s="915"/>
      <c r="H842" s="917">
        <v>352</v>
      </c>
      <c r="I842" s="918"/>
      <c r="J842" s="918"/>
    </row>
    <row r="843" spans="1:10">
      <c r="A843" t="s">
        <v>4597</v>
      </c>
      <c r="B843" s="915" t="s">
        <v>4527</v>
      </c>
      <c r="C843" s="915" t="str">
        <f t="shared" si="13"/>
        <v>8월</v>
      </c>
      <c r="D843" s="916" t="s">
        <v>4529</v>
      </c>
      <c r="E843" s="916" t="s">
        <v>4400</v>
      </c>
      <c r="F843" s="916" t="s">
        <v>4401</v>
      </c>
      <c r="G843" s="915"/>
      <c r="H843" s="917">
        <v>240</v>
      </c>
      <c r="I843" s="918"/>
      <c r="J843" s="917">
        <v>18079528</v>
      </c>
    </row>
    <row r="844" spans="1:10">
      <c r="A844" t="s">
        <v>4597</v>
      </c>
      <c r="B844" s="915" t="s">
        <v>4205</v>
      </c>
      <c r="C844" s="915" t="str">
        <f t="shared" si="13"/>
        <v>8월</v>
      </c>
      <c r="D844" s="916" t="s">
        <v>4416</v>
      </c>
      <c r="E844" s="916" t="s">
        <v>4438</v>
      </c>
      <c r="F844" s="916" t="s">
        <v>4439</v>
      </c>
      <c r="G844" s="915"/>
      <c r="H844" s="917">
        <v>11533</v>
      </c>
      <c r="I844" s="918"/>
      <c r="J844" s="917">
        <v>18091061</v>
      </c>
    </row>
    <row r="845" spans="1:10">
      <c r="A845" t="s">
        <v>4597</v>
      </c>
      <c r="B845" s="915" t="s">
        <v>3779</v>
      </c>
      <c r="C845" s="915" t="str">
        <f t="shared" si="13"/>
        <v>8월</v>
      </c>
      <c r="D845" s="916" t="s">
        <v>4395</v>
      </c>
      <c r="E845" s="916" t="s">
        <v>4365</v>
      </c>
      <c r="F845" s="916" t="s">
        <v>4366</v>
      </c>
      <c r="G845" s="915"/>
      <c r="H845" s="917">
        <v>206200</v>
      </c>
      <c r="I845" s="918"/>
      <c r="J845" s="917">
        <v>18297261</v>
      </c>
    </row>
    <row r="846" spans="1:10">
      <c r="A846" t="s">
        <v>4597</v>
      </c>
      <c r="B846" s="915" t="s">
        <v>4530</v>
      </c>
      <c r="C846" s="915" t="str">
        <f t="shared" si="13"/>
        <v>8월</v>
      </c>
      <c r="D846" s="916" t="s">
        <v>4421</v>
      </c>
      <c r="E846" s="916" t="s">
        <v>4400</v>
      </c>
      <c r="F846" s="916" t="s">
        <v>4401</v>
      </c>
      <c r="G846" s="915"/>
      <c r="H846" s="917">
        <v>240</v>
      </c>
      <c r="I846" s="918"/>
      <c r="J846" s="918"/>
    </row>
    <row r="847" spans="1:10">
      <c r="A847" t="s">
        <v>4597</v>
      </c>
      <c r="B847" s="915" t="s">
        <v>4530</v>
      </c>
      <c r="C847" s="915" t="str">
        <f t="shared" si="13"/>
        <v>8월</v>
      </c>
      <c r="D847" s="916" t="s">
        <v>4459</v>
      </c>
      <c r="E847" s="916" t="s">
        <v>4400</v>
      </c>
      <c r="F847" s="916" t="s">
        <v>4401</v>
      </c>
      <c r="G847" s="915"/>
      <c r="H847" s="917">
        <v>240</v>
      </c>
      <c r="I847" s="918"/>
      <c r="J847" s="918"/>
    </row>
    <row r="848" spans="1:10">
      <c r="A848" t="s">
        <v>4597</v>
      </c>
      <c r="B848" s="915" t="s">
        <v>4530</v>
      </c>
      <c r="C848" s="915" t="str">
        <f t="shared" si="13"/>
        <v>8월</v>
      </c>
      <c r="D848" s="916" t="s">
        <v>4531</v>
      </c>
      <c r="E848" s="916" t="s">
        <v>4400</v>
      </c>
      <c r="F848" s="916" t="s">
        <v>4401</v>
      </c>
      <c r="G848" s="915"/>
      <c r="H848" s="917">
        <v>240</v>
      </c>
      <c r="I848" s="918"/>
      <c r="J848" s="917">
        <v>18297981</v>
      </c>
    </row>
    <row r="849" spans="1:10">
      <c r="A849" t="s">
        <v>4597</v>
      </c>
      <c r="B849" s="915" t="s">
        <v>4532</v>
      </c>
      <c r="C849" s="915" t="str">
        <f t="shared" si="13"/>
        <v>8월</v>
      </c>
      <c r="D849" s="916" t="s">
        <v>4533</v>
      </c>
      <c r="E849" s="916"/>
      <c r="F849" s="916" t="s">
        <v>4305</v>
      </c>
      <c r="G849" s="915"/>
      <c r="H849" s="917">
        <v>3500</v>
      </c>
      <c r="I849" s="918"/>
      <c r="J849" s="918"/>
    </row>
    <row r="850" spans="1:10">
      <c r="A850" t="s">
        <v>4597</v>
      </c>
      <c r="B850" s="915" t="s">
        <v>4532</v>
      </c>
      <c r="C850" s="915" t="str">
        <f t="shared" si="13"/>
        <v>8월</v>
      </c>
      <c r="D850" s="916" t="s">
        <v>4395</v>
      </c>
      <c r="E850" s="916" t="s">
        <v>4365</v>
      </c>
      <c r="F850" s="916" t="s">
        <v>4366</v>
      </c>
      <c r="G850" s="915"/>
      <c r="H850" s="917">
        <v>26740</v>
      </c>
      <c r="I850" s="918"/>
      <c r="J850" s="918"/>
    </row>
    <row r="851" spans="1:10">
      <c r="A851" t="s">
        <v>4597</v>
      </c>
      <c r="B851" s="915" t="s">
        <v>4532</v>
      </c>
      <c r="C851" s="915" t="str">
        <f t="shared" si="13"/>
        <v>8월</v>
      </c>
      <c r="D851" s="916" t="s">
        <v>4416</v>
      </c>
      <c r="E851" s="916" t="s">
        <v>4438</v>
      </c>
      <c r="F851" s="916" t="s">
        <v>4439</v>
      </c>
      <c r="G851" s="915"/>
      <c r="H851" s="917">
        <v>16328</v>
      </c>
      <c r="I851" s="918"/>
      <c r="J851" s="918"/>
    </row>
    <row r="852" spans="1:10">
      <c r="A852" t="s">
        <v>4597</v>
      </c>
      <c r="B852" s="915" t="s">
        <v>4532</v>
      </c>
      <c r="C852" s="915" t="str">
        <f t="shared" si="13"/>
        <v>8월</v>
      </c>
      <c r="D852" s="916" t="s">
        <v>4534</v>
      </c>
      <c r="E852" s="916" t="s">
        <v>4160</v>
      </c>
      <c r="F852" s="916" t="s">
        <v>4161</v>
      </c>
      <c r="G852" s="915" t="s">
        <v>4162</v>
      </c>
      <c r="H852" s="917">
        <v>-150320</v>
      </c>
      <c r="I852" s="918"/>
      <c r="J852" s="918"/>
    </row>
    <row r="853" spans="1:10">
      <c r="A853" t="s">
        <v>4597</v>
      </c>
      <c r="B853" s="915" t="s">
        <v>4532</v>
      </c>
      <c r="C853" s="915" t="str">
        <f t="shared" si="13"/>
        <v>8월</v>
      </c>
      <c r="D853" s="916" t="s">
        <v>4535</v>
      </c>
      <c r="E853" s="916" t="s">
        <v>4197</v>
      </c>
      <c r="F853" s="916" t="s">
        <v>4198</v>
      </c>
      <c r="G853" s="915" t="s">
        <v>4199</v>
      </c>
      <c r="H853" s="917">
        <v>-75160</v>
      </c>
      <c r="I853" s="918"/>
      <c r="J853" s="918"/>
    </row>
    <row r="854" spans="1:10">
      <c r="A854" t="s">
        <v>4597</v>
      </c>
      <c r="B854" s="915" t="s">
        <v>4532</v>
      </c>
      <c r="C854" s="915" t="str">
        <f t="shared" si="13"/>
        <v>8월</v>
      </c>
      <c r="D854" s="916" t="s">
        <v>4536</v>
      </c>
      <c r="E854" s="916" t="s">
        <v>4202</v>
      </c>
      <c r="F854" s="916" t="s">
        <v>4203</v>
      </c>
      <c r="G854" s="915" t="s">
        <v>4204</v>
      </c>
      <c r="H854" s="917">
        <v>-75160</v>
      </c>
      <c r="I854" s="918"/>
      <c r="J854" s="917">
        <v>18043909</v>
      </c>
    </row>
    <row r="855" spans="1:10">
      <c r="A855" t="s">
        <v>4597</v>
      </c>
      <c r="B855" s="915" t="s">
        <v>3972</v>
      </c>
      <c r="C855" s="915" t="str">
        <f t="shared" si="13"/>
        <v>9월</v>
      </c>
      <c r="D855" s="916" t="s">
        <v>4412</v>
      </c>
      <c r="E855" s="916"/>
      <c r="F855" s="916"/>
      <c r="G855" s="915"/>
      <c r="H855" s="917">
        <v>-10280</v>
      </c>
      <c r="I855" s="918"/>
      <c r="J855" s="917">
        <v>18033629</v>
      </c>
    </row>
    <row r="856" spans="1:10">
      <c r="A856" t="s">
        <v>4597</v>
      </c>
      <c r="B856" s="915" t="s">
        <v>4537</v>
      </c>
      <c r="C856" s="915" t="str">
        <f t="shared" si="13"/>
        <v>9월</v>
      </c>
      <c r="D856" s="916" t="s">
        <v>4538</v>
      </c>
      <c r="E856" s="916" t="s">
        <v>4444</v>
      </c>
      <c r="F856" s="916" t="s">
        <v>4445</v>
      </c>
      <c r="G856" s="915" t="s">
        <v>4446</v>
      </c>
      <c r="H856" s="917">
        <v>4400</v>
      </c>
      <c r="I856" s="918"/>
      <c r="J856" s="918"/>
    </row>
    <row r="857" spans="1:10">
      <c r="A857" t="s">
        <v>4597</v>
      </c>
      <c r="B857" s="915" t="s">
        <v>4537</v>
      </c>
      <c r="C857" s="915" t="str">
        <f t="shared" si="13"/>
        <v>9월</v>
      </c>
      <c r="D857" s="916" t="s">
        <v>4500</v>
      </c>
      <c r="E857" s="916" t="s">
        <v>4489</v>
      </c>
      <c r="F857" s="916" t="s">
        <v>4501</v>
      </c>
      <c r="G857" s="915"/>
      <c r="H857" s="917">
        <v>500</v>
      </c>
      <c r="I857" s="918"/>
      <c r="J857" s="918"/>
    </row>
    <row r="858" spans="1:10">
      <c r="A858" t="s">
        <v>4597</v>
      </c>
      <c r="B858" s="915" t="s">
        <v>4537</v>
      </c>
      <c r="C858" s="915" t="str">
        <f t="shared" si="13"/>
        <v>9월</v>
      </c>
      <c r="D858" s="916" t="s">
        <v>4516</v>
      </c>
      <c r="E858" s="916" t="s">
        <v>4489</v>
      </c>
      <c r="F858" s="916" t="s">
        <v>4501</v>
      </c>
      <c r="G858" s="915"/>
      <c r="H858" s="917">
        <v>500</v>
      </c>
      <c r="I858" s="918"/>
      <c r="J858" s="917">
        <v>18039029</v>
      </c>
    </row>
    <row r="859" spans="1:10">
      <c r="A859" t="s">
        <v>4597</v>
      </c>
      <c r="B859" s="915" t="s">
        <v>3974</v>
      </c>
      <c r="C859" s="915" t="str">
        <f t="shared" si="13"/>
        <v>9월</v>
      </c>
      <c r="D859" s="916" t="s">
        <v>4395</v>
      </c>
      <c r="E859" s="916" t="s">
        <v>4365</v>
      </c>
      <c r="F859" s="916" t="s">
        <v>4366</v>
      </c>
      <c r="G859" s="915"/>
      <c r="H859" s="917">
        <v>24260</v>
      </c>
      <c r="I859" s="918"/>
      <c r="J859" s="917">
        <v>18063289</v>
      </c>
    </row>
    <row r="860" spans="1:10">
      <c r="A860" t="s">
        <v>4597</v>
      </c>
      <c r="B860" s="915" t="s">
        <v>3787</v>
      </c>
      <c r="C860" s="915" t="str">
        <f t="shared" si="13"/>
        <v>9월</v>
      </c>
      <c r="D860" s="916" t="s">
        <v>4389</v>
      </c>
      <c r="E860" s="916" t="s">
        <v>4390</v>
      </c>
      <c r="F860" s="916" t="s">
        <v>4391</v>
      </c>
      <c r="G860" s="915" t="s">
        <v>4392</v>
      </c>
      <c r="H860" s="917">
        <v>451000</v>
      </c>
      <c r="I860" s="918"/>
      <c r="J860" s="917">
        <v>18514289</v>
      </c>
    </row>
    <row r="861" spans="1:10">
      <c r="A861" t="s">
        <v>4597</v>
      </c>
      <c r="B861" s="915" t="s">
        <v>3788</v>
      </c>
      <c r="C861" s="915" t="str">
        <f t="shared" si="13"/>
        <v>9월</v>
      </c>
      <c r="D861" s="916" t="s">
        <v>4412</v>
      </c>
      <c r="E861" s="916"/>
      <c r="F861" s="916"/>
      <c r="G861" s="915"/>
      <c r="H861" s="917">
        <v>-19620</v>
      </c>
      <c r="I861" s="918"/>
      <c r="J861" s="918"/>
    </row>
    <row r="862" spans="1:10">
      <c r="A862" t="s">
        <v>4597</v>
      </c>
      <c r="B862" s="915" t="s">
        <v>3788</v>
      </c>
      <c r="C862" s="915" t="str">
        <f t="shared" si="13"/>
        <v>9월</v>
      </c>
      <c r="D862" s="916" t="s">
        <v>4479</v>
      </c>
      <c r="E862" s="916" t="s">
        <v>4369</v>
      </c>
      <c r="F862" s="916" t="s">
        <v>4370</v>
      </c>
      <c r="G862" s="915"/>
      <c r="H862" s="917">
        <v>385</v>
      </c>
      <c r="I862" s="918"/>
      <c r="J862" s="917">
        <v>18495054</v>
      </c>
    </row>
    <row r="863" spans="1:10">
      <c r="A863" t="s">
        <v>4597</v>
      </c>
      <c r="B863" s="915" t="s">
        <v>3795</v>
      </c>
      <c r="C863" s="915" t="str">
        <f t="shared" si="13"/>
        <v>9월</v>
      </c>
      <c r="D863" s="916" t="s">
        <v>4395</v>
      </c>
      <c r="E863" s="916" t="s">
        <v>4365</v>
      </c>
      <c r="F863" s="916" t="s">
        <v>4366</v>
      </c>
      <c r="G863" s="915"/>
      <c r="H863" s="917">
        <v>27000</v>
      </c>
      <c r="I863" s="918"/>
      <c r="J863" s="918"/>
    </row>
    <row r="864" spans="1:10">
      <c r="A864" t="s">
        <v>4597</v>
      </c>
      <c r="B864" s="915" t="s">
        <v>3795</v>
      </c>
      <c r="C864" s="915" t="str">
        <f t="shared" si="13"/>
        <v>9월</v>
      </c>
      <c r="D864" s="916" t="s">
        <v>4539</v>
      </c>
      <c r="E864" s="916" t="s">
        <v>4373</v>
      </c>
      <c r="F864" s="916" t="s">
        <v>4374</v>
      </c>
      <c r="G864" s="915" t="s">
        <v>4375</v>
      </c>
      <c r="H864" s="917">
        <v>35000</v>
      </c>
      <c r="I864" s="918"/>
      <c r="J864" s="917">
        <v>18557054</v>
      </c>
    </row>
    <row r="865" spans="1:10" ht="33.75">
      <c r="A865" t="s">
        <v>4597</v>
      </c>
      <c r="B865" s="915" t="s">
        <v>3799</v>
      </c>
      <c r="C865" s="915" t="str">
        <f t="shared" si="13"/>
        <v>9월</v>
      </c>
      <c r="D865" s="916" t="s">
        <v>4380</v>
      </c>
      <c r="E865" s="916" t="s">
        <v>4381</v>
      </c>
      <c r="F865" s="916" t="s">
        <v>4382</v>
      </c>
      <c r="G865" s="915" t="s">
        <v>4383</v>
      </c>
      <c r="H865" s="917">
        <v>66000</v>
      </c>
      <c r="I865" s="918"/>
      <c r="J865" s="917">
        <v>18623054</v>
      </c>
    </row>
    <row r="866" spans="1:10">
      <c r="A866" t="s">
        <v>4597</v>
      </c>
      <c r="B866" s="915" t="s">
        <v>4124</v>
      </c>
      <c r="C866" s="915" t="str">
        <f t="shared" si="13"/>
        <v>9월</v>
      </c>
      <c r="D866" s="916" t="s">
        <v>4395</v>
      </c>
      <c r="E866" s="916" t="s">
        <v>4365</v>
      </c>
      <c r="F866" s="916" t="s">
        <v>4366</v>
      </c>
      <c r="G866" s="915"/>
      <c r="H866" s="917">
        <v>7420</v>
      </c>
      <c r="I866" s="918"/>
      <c r="J866" s="917">
        <v>18630474</v>
      </c>
    </row>
    <row r="867" spans="1:10">
      <c r="A867" t="s">
        <v>4597</v>
      </c>
      <c r="B867" s="915" t="s">
        <v>4052</v>
      </c>
      <c r="C867" s="915" t="str">
        <f t="shared" si="13"/>
        <v>9월</v>
      </c>
      <c r="D867" s="916" t="s">
        <v>4395</v>
      </c>
      <c r="E867" s="916" t="s">
        <v>4365</v>
      </c>
      <c r="F867" s="916" t="s">
        <v>4366</v>
      </c>
      <c r="G867" s="915"/>
      <c r="H867" s="917">
        <v>1140</v>
      </c>
      <c r="I867" s="918"/>
      <c r="J867" s="917">
        <v>18631614</v>
      </c>
    </row>
    <row r="868" spans="1:10">
      <c r="A868" t="s">
        <v>4597</v>
      </c>
      <c r="B868" s="915" t="s">
        <v>4277</v>
      </c>
      <c r="C868" s="915" t="str">
        <f t="shared" si="13"/>
        <v>9월</v>
      </c>
      <c r="D868" s="916" t="s">
        <v>4395</v>
      </c>
      <c r="E868" s="916" t="s">
        <v>4365</v>
      </c>
      <c r="F868" s="916" t="s">
        <v>4366</v>
      </c>
      <c r="G868" s="915"/>
      <c r="H868" s="917">
        <v>205320</v>
      </c>
      <c r="I868" s="918"/>
      <c r="J868" s="917">
        <v>18836934</v>
      </c>
    </row>
    <row r="869" spans="1:10">
      <c r="A869" t="s">
        <v>4597</v>
      </c>
      <c r="B869" s="915" t="s">
        <v>4349</v>
      </c>
      <c r="C869" s="915" t="str">
        <f t="shared" si="13"/>
        <v>9월</v>
      </c>
      <c r="D869" s="916" t="s">
        <v>4421</v>
      </c>
      <c r="E869" s="916" t="s">
        <v>4400</v>
      </c>
      <c r="F869" s="916" t="s">
        <v>4401</v>
      </c>
      <c r="G869" s="915"/>
      <c r="H869" s="917">
        <v>240</v>
      </c>
      <c r="I869" s="918"/>
      <c r="J869" s="917">
        <v>18837174</v>
      </c>
    </row>
    <row r="870" spans="1:10">
      <c r="A870" t="s">
        <v>4597</v>
      </c>
      <c r="B870" s="915" t="s">
        <v>4207</v>
      </c>
      <c r="C870" s="915" t="str">
        <f t="shared" si="13"/>
        <v>9월</v>
      </c>
      <c r="D870" s="916" t="s">
        <v>4416</v>
      </c>
      <c r="E870" s="916" t="s">
        <v>4438</v>
      </c>
      <c r="F870" s="916" t="s">
        <v>4439</v>
      </c>
      <c r="G870" s="915"/>
      <c r="H870" s="917">
        <v>440</v>
      </c>
      <c r="I870" s="918"/>
      <c r="J870" s="918"/>
    </row>
    <row r="871" spans="1:10">
      <c r="A871" t="s">
        <v>4597</v>
      </c>
      <c r="B871" s="915" t="s">
        <v>4207</v>
      </c>
      <c r="C871" s="915" t="str">
        <f t="shared" si="13"/>
        <v>9월</v>
      </c>
      <c r="D871" s="916" t="s">
        <v>4540</v>
      </c>
      <c r="E871" s="916" t="s">
        <v>4160</v>
      </c>
      <c r="F871" s="916" t="s">
        <v>4161</v>
      </c>
      <c r="G871" s="915" t="s">
        <v>4162</v>
      </c>
      <c r="H871" s="917">
        <v>-150320</v>
      </c>
      <c r="I871" s="918"/>
      <c r="J871" s="918"/>
    </row>
    <row r="872" spans="1:10">
      <c r="A872" t="s">
        <v>4597</v>
      </c>
      <c r="B872" s="915" t="s">
        <v>4207</v>
      </c>
      <c r="C872" s="915" t="str">
        <f t="shared" si="13"/>
        <v>9월</v>
      </c>
      <c r="D872" s="916" t="s">
        <v>4541</v>
      </c>
      <c r="E872" s="916" t="s">
        <v>4197</v>
      </c>
      <c r="F872" s="916" t="s">
        <v>4198</v>
      </c>
      <c r="G872" s="915" t="s">
        <v>4199</v>
      </c>
      <c r="H872" s="917">
        <v>-75160</v>
      </c>
      <c r="I872" s="918"/>
      <c r="J872" s="918"/>
    </row>
    <row r="873" spans="1:10">
      <c r="A873" t="s">
        <v>4597</v>
      </c>
      <c r="B873" s="915" t="s">
        <v>4207</v>
      </c>
      <c r="C873" s="915" t="str">
        <f t="shared" si="13"/>
        <v>9월</v>
      </c>
      <c r="D873" s="916" t="s">
        <v>4542</v>
      </c>
      <c r="E873" s="916" t="s">
        <v>4202</v>
      </c>
      <c r="F873" s="916" t="s">
        <v>4203</v>
      </c>
      <c r="G873" s="915" t="s">
        <v>4204</v>
      </c>
      <c r="H873" s="917">
        <v>-75160</v>
      </c>
      <c r="I873" s="918"/>
      <c r="J873" s="917">
        <v>18536974</v>
      </c>
    </row>
    <row r="874" spans="1:10">
      <c r="A874" t="s">
        <v>4597</v>
      </c>
      <c r="B874" s="915" t="s">
        <v>4543</v>
      </c>
      <c r="C874" s="915" t="str">
        <f t="shared" si="13"/>
        <v>10월</v>
      </c>
      <c r="D874" s="916" t="s">
        <v>4395</v>
      </c>
      <c r="E874" s="916" t="s">
        <v>4365</v>
      </c>
      <c r="F874" s="916" t="s">
        <v>4366</v>
      </c>
      <c r="G874" s="915"/>
      <c r="H874" s="917">
        <v>26120</v>
      </c>
      <c r="I874" s="918"/>
      <c r="J874" s="917">
        <v>18563094</v>
      </c>
    </row>
    <row r="875" spans="1:10">
      <c r="A875" t="s">
        <v>4597</v>
      </c>
      <c r="B875" s="915" t="s">
        <v>4055</v>
      </c>
      <c r="C875" s="915" t="str">
        <f t="shared" si="13"/>
        <v>10월</v>
      </c>
      <c r="D875" s="916" t="s">
        <v>4412</v>
      </c>
      <c r="E875" s="916"/>
      <c r="F875" s="916"/>
      <c r="G875" s="915"/>
      <c r="H875" s="917">
        <v>-10720</v>
      </c>
      <c r="I875" s="918"/>
      <c r="J875" s="918"/>
    </row>
    <row r="876" spans="1:10">
      <c r="A876" t="s">
        <v>4597</v>
      </c>
      <c r="B876" s="915" t="s">
        <v>4055</v>
      </c>
      <c r="C876" s="915" t="str">
        <f t="shared" si="13"/>
        <v>10월</v>
      </c>
      <c r="D876" s="916" t="s">
        <v>4459</v>
      </c>
      <c r="E876" s="916" t="s">
        <v>4400</v>
      </c>
      <c r="F876" s="916" t="s">
        <v>4401</v>
      </c>
      <c r="G876" s="915"/>
      <c r="H876" s="917">
        <v>240</v>
      </c>
      <c r="I876" s="918"/>
      <c r="J876" s="917">
        <v>18552614</v>
      </c>
    </row>
    <row r="877" spans="1:10">
      <c r="A877" t="s">
        <v>4597</v>
      </c>
      <c r="B877" s="915" t="s">
        <v>4544</v>
      </c>
      <c r="C877" s="915" t="str">
        <f t="shared" si="13"/>
        <v>10월</v>
      </c>
      <c r="D877" s="916" t="s">
        <v>4389</v>
      </c>
      <c r="E877" s="916" t="s">
        <v>4390</v>
      </c>
      <c r="F877" s="916" t="s">
        <v>4391</v>
      </c>
      <c r="G877" s="915" t="s">
        <v>4392</v>
      </c>
      <c r="H877" s="917">
        <v>451000</v>
      </c>
      <c r="I877" s="918"/>
      <c r="J877" s="918"/>
    </row>
    <row r="878" spans="1:10">
      <c r="A878" t="s">
        <v>4597</v>
      </c>
      <c r="B878" s="915" t="s">
        <v>4544</v>
      </c>
      <c r="C878" s="915" t="str">
        <f t="shared" si="13"/>
        <v>10월</v>
      </c>
      <c r="D878" s="916" t="s">
        <v>4395</v>
      </c>
      <c r="E878" s="916" t="s">
        <v>4365</v>
      </c>
      <c r="F878" s="916" t="s">
        <v>4366</v>
      </c>
      <c r="G878" s="915"/>
      <c r="H878" s="917">
        <v>22440</v>
      </c>
      <c r="I878" s="918"/>
      <c r="J878" s="917">
        <v>19026054</v>
      </c>
    </row>
    <row r="879" spans="1:10">
      <c r="A879" t="s">
        <v>4597</v>
      </c>
      <c r="B879" s="915" t="s">
        <v>4545</v>
      </c>
      <c r="C879" s="915" t="str">
        <f t="shared" si="13"/>
        <v>10월</v>
      </c>
      <c r="D879" s="916" t="s">
        <v>4412</v>
      </c>
      <c r="E879" s="916"/>
      <c r="F879" s="916"/>
      <c r="G879" s="915"/>
      <c r="H879" s="917">
        <v>-17940</v>
      </c>
      <c r="I879" s="918"/>
      <c r="J879" s="917">
        <v>19008114</v>
      </c>
    </row>
    <row r="880" spans="1:10">
      <c r="A880" t="s">
        <v>4597</v>
      </c>
      <c r="B880" s="915" t="s">
        <v>3807</v>
      </c>
      <c r="C880" s="915" t="str">
        <f t="shared" si="13"/>
        <v>10월</v>
      </c>
      <c r="D880" s="916" t="s">
        <v>4546</v>
      </c>
      <c r="E880" s="916"/>
      <c r="F880" s="916" t="s">
        <v>3195</v>
      </c>
      <c r="G880" s="915"/>
      <c r="H880" s="917">
        <v>2000</v>
      </c>
      <c r="I880" s="918"/>
      <c r="J880" s="918"/>
    </row>
    <row r="881" spans="1:10">
      <c r="A881" t="s">
        <v>4597</v>
      </c>
      <c r="B881" s="915" t="s">
        <v>3807</v>
      </c>
      <c r="C881" s="915" t="str">
        <f t="shared" si="13"/>
        <v>10월</v>
      </c>
      <c r="D881" s="916" t="s">
        <v>4479</v>
      </c>
      <c r="E881" s="916" t="s">
        <v>4369</v>
      </c>
      <c r="F881" s="916" t="s">
        <v>4370</v>
      </c>
      <c r="G881" s="915"/>
      <c r="H881" s="917">
        <v>385</v>
      </c>
      <c r="I881" s="918"/>
      <c r="J881" s="918"/>
    </row>
    <row r="882" spans="1:10">
      <c r="A882" t="s">
        <v>4597</v>
      </c>
      <c r="B882" s="915" t="s">
        <v>3807</v>
      </c>
      <c r="C882" s="915" t="str">
        <f t="shared" si="13"/>
        <v>10월</v>
      </c>
      <c r="D882" s="916" t="s">
        <v>4539</v>
      </c>
      <c r="E882" s="916" t="s">
        <v>4373</v>
      </c>
      <c r="F882" s="916" t="s">
        <v>4374</v>
      </c>
      <c r="G882" s="915" t="s">
        <v>4375</v>
      </c>
      <c r="H882" s="917">
        <v>35000</v>
      </c>
      <c r="I882" s="918"/>
      <c r="J882" s="917">
        <v>19045499</v>
      </c>
    </row>
    <row r="883" spans="1:10">
      <c r="A883" t="s">
        <v>4597</v>
      </c>
      <c r="B883" s="915" t="s">
        <v>3811</v>
      </c>
      <c r="C883" s="915" t="str">
        <f t="shared" si="13"/>
        <v>10월</v>
      </c>
      <c r="D883" s="916" t="s">
        <v>4395</v>
      </c>
      <c r="E883" s="916" t="s">
        <v>4365</v>
      </c>
      <c r="F883" s="916" t="s">
        <v>4366</v>
      </c>
      <c r="G883" s="915"/>
      <c r="H883" s="917">
        <v>26160</v>
      </c>
      <c r="I883" s="918"/>
      <c r="J883" s="917">
        <v>19071659</v>
      </c>
    </row>
    <row r="884" spans="1:10" ht="33.75">
      <c r="A884" t="s">
        <v>4597</v>
      </c>
      <c r="B884" s="915" t="s">
        <v>3817</v>
      </c>
      <c r="C884" s="915" t="str">
        <f t="shared" si="13"/>
        <v>10월</v>
      </c>
      <c r="D884" s="916" t="s">
        <v>4380</v>
      </c>
      <c r="E884" s="916" t="s">
        <v>4381</v>
      </c>
      <c r="F884" s="916" t="s">
        <v>4382</v>
      </c>
      <c r="G884" s="915" t="s">
        <v>4383</v>
      </c>
      <c r="H884" s="917">
        <v>66000</v>
      </c>
      <c r="I884" s="918"/>
      <c r="J884" s="917">
        <v>19137659</v>
      </c>
    </row>
    <row r="885" spans="1:10">
      <c r="A885" t="s">
        <v>4597</v>
      </c>
      <c r="B885" s="915" t="s">
        <v>3819</v>
      </c>
      <c r="C885" s="915" t="str">
        <f t="shared" si="13"/>
        <v>10월</v>
      </c>
      <c r="D885" s="916" t="s">
        <v>4395</v>
      </c>
      <c r="E885" s="916" t="s">
        <v>4365</v>
      </c>
      <c r="F885" s="916" t="s">
        <v>4366</v>
      </c>
      <c r="G885" s="915"/>
      <c r="H885" s="917">
        <v>7100</v>
      </c>
      <c r="I885" s="918"/>
      <c r="J885" s="917">
        <v>19144759</v>
      </c>
    </row>
    <row r="886" spans="1:10">
      <c r="A886" t="s">
        <v>4597</v>
      </c>
      <c r="B886" s="915" t="s">
        <v>4547</v>
      </c>
      <c r="C886" s="915" t="str">
        <f t="shared" si="13"/>
        <v>10월</v>
      </c>
      <c r="D886" s="916" t="s">
        <v>4395</v>
      </c>
      <c r="E886" s="916" t="s">
        <v>4365</v>
      </c>
      <c r="F886" s="916" t="s">
        <v>4366</v>
      </c>
      <c r="G886" s="915"/>
      <c r="H886" s="917">
        <v>1140</v>
      </c>
      <c r="I886" s="918"/>
      <c r="J886" s="917">
        <v>19145899</v>
      </c>
    </row>
    <row r="887" spans="1:10">
      <c r="A887" t="s">
        <v>4597</v>
      </c>
      <c r="B887" s="915" t="s">
        <v>4109</v>
      </c>
      <c r="C887" s="915" t="str">
        <f t="shared" si="13"/>
        <v>10월</v>
      </c>
      <c r="D887" s="916" t="s">
        <v>4548</v>
      </c>
      <c r="E887" s="916" t="s">
        <v>4369</v>
      </c>
      <c r="F887" s="916" t="s">
        <v>4370</v>
      </c>
      <c r="G887" s="915"/>
      <c r="H887" s="917">
        <v>3520</v>
      </c>
      <c r="I887" s="918"/>
      <c r="J887" s="917">
        <v>19149419</v>
      </c>
    </row>
    <row r="888" spans="1:10">
      <c r="A888" t="s">
        <v>4597</v>
      </c>
      <c r="B888" s="915" t="s">
        <v>4549</v>
      </c>
      <c r="C888" s="915" t="str">
        <f t="shared" si="13"/>
        <v>10월</v>
      </c>
      <c r="D888" s="916" t="s">
        <v>4395</v>
      </c>
      <c r="E888" s="916" t="s">
        <v>4365</v>
      </c>
      <c r="F888" s="916" t="s">
        <v>4366</v>
      </c>
      <c r="G888" s="915"/>
      <c r="H888" s="917">
        <v>206200</v>
      </c>
      <c r="I888" s="918"/>
      <c r="J888" s="918"/>
    </row>
    <row r="889" spans="1:10">
      <c r="A889" t="s">
        <v>4597</v>
      </c>
      <c r="B889" s="915" t="s">
        <v>4549</v>
      </c>
      <c r="C889" s="915" t="str">
        <f t="shared" si="13"/>
        <v>10월</v>
      </c>
      <c r="D889" s="916" t="s">
        <v>4421</v>
      </c>
      <c r="E889" s="916" t="s">
        <v>4400</v>
      </c>
      <c r="F889" s="916" t="s">
        <v>4401</v>
      </c>
      <c r="G889" s="915"/>
      <c r="H889" s="917">
        <v>240</v>
      </c>
      <c r="I889" s="918"/>
      <c r="J889" s="917">
        <v>19355859</v>
      </c>
    </row>
    <row r="890" spans="1:10">
      <c r="A890" t="s">
        <v>4597</v>
      </c>
      <c r="B890" s="915" t="s">
        <v>3824</v>
      </c>
      <c r="C890" s="915" t="str">
        <f t="shared" si="13"/>
        <v>10월</v>
      </c>
      <c r="D890" s="916" t="s">
        <v>4550</v>
      </c>
      <c r="E890" s="916" t="s">
        <v>4160</v>
      </c>
      <c r="F890" s="916" t="s">
        <v>4161</v>
      </c>
      <c r="G890" s="915" t="s">
        <v>4162</v>
      </c>
      <c r="H890" s="917">
        <v>-150320</v>
      </c>
      <c r="I890" s="918"/>
      <c r="J890" s="918"/>
    </row>
    <row r="891" spans="1:10">
      <c r="A891" t="s">
        <v>4597</v>
      </c>
      <c r="B891" s="915" t="s">
        <v>3824</v>
      </c>
      <c r="C891" s="915" t="str">
        <f t="shared" si="13"/>
        <v>10월</v>
      </c>
      <c r="D891" s="916" t="s">
        <v>4551</v>
      </c>
      <c r="E891" s="916" t="s">
        <v>4202</v>
      </c>
      <c r="F891" s="916" t="s">
        <v>4203</v>
      </c>
      <c r="G891" s="915" t="s">
        <v>4204</v>
      </c>
      <c r="H891" s="917">
        <v>-75160</v>
      </c>
      <c r="I891" s="918"/>
      <c r="J891" s="918"/>
    </row>
    <row r="892" spans="1:10">
      <c r="A892" t="s">
        <v>4597</v>
      </c>
      <c r="B892" s="915" t="s">
        <v>3824</v>
      </c>
      <c r="C892" s="915" t="str">
        <f t="shared" si="13"/>
        <v>10월</v>
      </c>
      <c r="D892" s="916" t="s">
        <v>4552</v>
      </c>
      <c r="E892" s="916" t="s">
        <v>4197</v>
      </c>
      <c r="F892" s="916" t="s">
        <v>4198</v>
      </c>
      <c r="G892" s="915" t="s">
        <v>4199</v>
      </c>
      <c r="H892" s="917">
        <v>-75160</v>
      </c>
      <c r="I892" s="918"/>
      <c r="J892" s="917">
        <v>19055219</v>
      </c>
    </row>
    <row r="893" spans="1:10">
      <c r="A893" t="s">
        <v>4597</v>
      </c>
      <c r="B893" s="915" t="s">
        <v>3826</v>
      </c>
      <c r="C893" s="915" t="str">
        <f t="shared" si="13"/>
        <v>11월</v>
      </c>
      <c r="D893" s="916" t="s">
        <v>4395</v>
      </c>
      <c r="E893" s="916" t="s">
        <v>4365</v>
      </c>
      <c r="F893" s="916" t="s">
        <v>4366</v>
      </c>
      <c r="G893" s="915"/>
      <c r="H893" s="917">
        <v>26600</v>
      </c>
      <c r="I893" s="918"/>
      <c r="J893" s="917">
        <v>19081819</v>
      </c>
    </row>
    <row r="894" spans="1:10">
      <c r="A894" t="s">
        <v>4597</v>
      </c>
      <c r="B894" s="915" t="s">
        <v>3828</v>
      </c>
      <c r="C894" s="915" t="str">
        <f t="shared" si="13"/>
        <v>11월</v>
      </c>
      <c r="D894" s="916" t="s">
        <v>4412</v>
      </c>
      <c r="E894" s="916"/>
      <c r="F894" s="916"/>
      <c r="G894" s="915"/>
      <c r="H894" s="917">
        <v>-10020</v>
      </c>
      <c r="I894" s="918"/>
      <c r="J894" s="918"/>
    </row>
    <row r="895" spans="1:10">
      <c r="A895" t="s">
        <v>4597</v>
      </c>
      <c r="B895" s="915" t="s">
        <v>3828</v>
      </c>
      <c r="C895" s="915" t="str">
        <f t="shared" si="13"/>
        <v>11월</v>
      </c>
      <c r="D895" s="916" t="s">
        <v>4459</v>
      </c>
      <c r="E895" s="916" t="s">
        <v>4400</v>
      </c>
      <c r="F895" s="916" t="s">
        <v>4401</v>
      </c>
      <c r="G895" s="915"/>
      <c r="H895" s="917">
        <v>240</v>
      </c>
      <c r="I895" s="918"/>
      <c r="J895" s="917">
        <v>19072039</v>
      </c>
    </row>
    <row r="896" spans="1:10">
      <c r="A896" t="s">
        <v>4597</v>
      </c>
      <c r="B896" s="915" t="s">
        <v>3829</v>
      </c>
      <c r="C896" s="915" t="str">
        <f t="shared" si="13"/>
        <v>11월</v>
      </c>
      <c r="D896" s="916" t="s">
        <v>4389</v>
      </c>
      <c r="E896" s="916" t="s">
        <v>4390</v>
      </c>
      <c r="F896" s="916" t="s">
        <v>4391</v>
      </c>
      <c r="G896" s="915" t="s">
        <v>4392</v>
      </c>
      <c r="H896" s="917">
        <v>451000</v>
      </c>
      <c r="I896" s="918"/>
      <c r="J896" s="917">
        <v>19523039</v>
      </c>
    </row>
    <row r="897" spans="1:10">
      <c r="A897" t="s">
        <v>4597</v>
      </c>
      <c r="B897" s="915" t="s">
        <v>4553</v>
      </c>
      <c r="C897" s="915" t="str">
        <f t="shared" si="13"/>
        <v>11월</v>
      </c>
      <c r="D897" s="916" t="s">
        <v>4479</v>
      </c>
      <c r="E897" s="916" t="s">
        <v>4369</v>
      </c>
      <c r="F897" s="916" t="s">
        <v>4370</v>
      </c>
      <c r="G897" s="915"/>
      <c r="H897" s="917">
        <v>385</v>
      </c>
      <c r="I897" s="918"/>
      <c r="J897" s="918"/>
    </row>
    <row r="898" spans="1:10">
      <c r="A898" t="s">
        <v>4597</v>
      </c>
      <c r="B898" s="915" t="s">
        <v>4553</v>
      </c>
      <c r="C898" s="915" t="str">
        <f t="shared" si="13"/>
        <v>11월</v>
      </c>
      <c r="D898" s="916" t="s">
        <v>4554</v>
      </c>
      <c r="E898" s="916" t="s">
        <v>4369</v>
      </c>
      <c r="F898" s="916" t="s">
        <v>4555</v>
      </c>
      <c r="G898" s="915"/>
      <c r="H898" s="917">
        <v>1760</v>
      </c>
      <c r="I898" s="918"/>
      <c r="J898" s="918"/>
    </row>
    <row r="899" spans="1:10">
      <c r="A899" t="s">
        <v>4597</v>
      </c>
      <c r="B899" s="915" t="s">
        <v>4553</v>
      </c>
      <c r="C899" s="915" t="str">
        <f t="shared" ref="C899:C962" si="14">MONTH(B899)&amp;"월"</f>
        <v>11월</v>
      </c>
      <c r="D899" s="916" t="s">
        <v>4395</v>
      </c>
      <c r="E899" s="916" t="s">
        <v>4365</v>
      </c>
      <c r="F899" s="916" t="s">
        <v>4366</v>
      </c>
      <c r="G899" s="915"/>
      <c r="H899" s="917">
        <v>23800</v>
      </c>
      <c r="I899" s="918"/>
      <c r="J899" s="917">
        <v>19548984</v>
      </c>
    </row>
    <row r="900" spans="1:10">
      <c r="A900" t="s">
        <v>4597</v>
      </c>
      <c r="B900" s="915" t="s">
        <v>4556</v>
      </c>
      <c r="C900" s="915" t="str">
        <f t="shared" si="14"/>
        <v>11월</v>
      </c>
      <c r="D900" s="916" t="s">
        <v>4412</v>
      </c>
      <c r="E900" s="916"/>
      <c r="F900" s="916"/>
      <c r="G900" s="915"/>
      <c r="H900" s="917">
        <v>-19040</v>
      </c>
      <c r="I900" s="918"/>
      <c r="J900" s="918"/>
    </row>
    <row r="901" spans="1:10">
      <c r="A901" t="s">
        <v>4597</v>
      </c>
      <c r="B901" s="915" t="s">
        <v>4556</v>
      </c>
      <c r="C901" s="915" t="str">
        <f t="shared" si="14"/>
        <v>11월</v>
      </c>
      <c r="D901" s="916" t="s">
        <v>4557</v>
      </c>
      <c r="E901" s="916" t="s">
        <v>4558</v>
      </c>
      <c r="F901" s="916" t="s">
        <v>4559</v>
      </c>
      <c r="G901" s="915"/>
      <c r="H901" s="917">
        <v>500</v>
      </c>
      <c r="I901" s="918"/>
      <c r="J901" s="918"/>
    </row>
    <row r="902" spans="1:10">
      <c r="A902" t="s">
        <v>4597</v>
      </c>
      <c r="B902" s="915" t="s">
        <v>4556</v>
      </c>
      <c r="C902" s="915" t="str">
        <f t="shared" si="14"/>
        <v>11월</v>
      </c>
      <c r="D902" s="916" t="s">
        <v>4557</v>
      </c>
      <c r="E902" s="916" t="s">
        <v>4560</v>
      </c>
      <c r="F902" s="916" t="s">
        <v>4561</v>
      </c>
      <c r="G902" s="915"/>
      <c r="H902" s="917">
        <v>500</v>
      </c>
      <c r="I902" s="918"/>
      <c r="J902" s="918"/>
    </row>
    <row r="903" spans="1:10">
      <c r="A903" t="s">
        <v>4597</v>
      </c>
      <c r="B903" s="915" t="s">
        <v>4556</v>
      </c>
      <c r="C903" s="915" t="str">
        <f t="shared" si="14"/>
        <v>11월</v>
      </c>
      <c r="D903" s="916" t="s">
        <v>4557</v>
      </c>
      <c r="E903" s="916" t="s">
        <v>4562</v>
      </c>
      <c r="F903" s="916" t="s">
        <v>4563</v>
      </c>
      <c r="G903" s="915"/>
      <c r="H903" s="917">
        <v>500</v>
      </c>
      <c r="I903" s="918"/>
      <c r="J903" s="918"/>
    </row>
    <row r="904" spans="1:10">
      <c r="A904" t="s">
        <v>4597</v>
      </c>
      <c r="B904" s="915" t="s">
        <v>4556</v>
      </c>
      <c r="C904" s="915" t="str">
        <f t="shared" si="14"/>
        <v>11월</v>
      </c>
      <c r="D904" s="916" t="s">
        <v>4564</v>
      </c>
      <c r="E904" s="916" t="s">
        <v>4373</v>
      </c>
      <c r="F904" s="916" t="s">
        <v>4374</v>
      </c>
      <c r="G904" s="915" t="s">
        <v>4375</v>
      </c>
      <c r="H904" s="917">
        <v>35000</v>
      </c>
      <c r="I904" s="918"/>
      <c r="J904" s="917">
        <v>19566444</v>
      </c>
    </row>
    <row r="905" spans="1:10">
      <c r="A905" t="s">
        <v>4597</v>
      </c>
      <c r="B905" s="915" t="s">
        <v>4565</v>
      </c>
      <c r="C905" s="915" t="str">
        <f t="shared" si="14"/>
        <v>11월</v>
      </c>
      <c r="D905" s="916" t="s">
        <v>4395</v>
      </c>
      <c r="E905" s="916" t="s">
        <v>4365</v>
      </c>
      <c r="F905" s="916" t="s">
        <v>4366</v>
      </c>
      <c r="G905" s="915"/>
      <c r="H905" s="917">
        <v>25840</v>
      </c>
      <c r="I905" s="918"/>
      <c r="J905" s="917">
        <v>19592284</v>
      </c>
    </row>
    <row r="906" spans="1:10">
      <c r="A906" t="s">
        <v>4597</v>
      </c>
      <c r="B906" s="915" t="s">
        <v>3835</v>
      </c>
      <c r="C906" s="915" t="str">
        <f t="shared" si="14"/>
        <v>11월</v>
      </c>
      <c r="D906" s="916" t="s">
        <v>4566</v>
      </c>
      <c r="E906" s="916" t="s">
        <v>4369</v>
      </c>
      <c r="F906" s="916" t="s">
        <v>4370</v>
      </c>
      <c r="G906" s="915"/>
      <c r="H906" s="917">
        <v>3850</v>
      </c>
      <c r="I906" s="918"/>
      <c r="J906" s="918"/>
    </row>
    <row r="907" spans="1:10" ht="33.75">
      <c r="A907" t="s">
        <v>4597</v>
      </c>
      <c r="B907" s="915" t="s">
        <v>3835</v>
      </c>
      <c r="C907" s="915" t="str">
        <f t="shared" si="14"/>
        <v>11월</v>
      </c>
      <c r="D907" s="916" t="s">
        <v>4380</v>
      </c>
      <c r="E907" s="916" t="s">
        <v>4381</v>
      </c>
      <c r="F907" s="916" t="s">
        <v>4382</v>
      </c>
      <c r="G907" s="915" t="s">
        <v>4383</v>
      </c>
      <c r="H907" s="917">
        <v>66000</v>
      </c>
      <c r="I907" s="918"/>
      <c r="J907" s="917">
        <v>19662134</v>
      </c>
    </row>
    <row r="908" spans="1:10">
      <c r="A908" t="s">
        <v>4597</v>
      </c>
      <c r="B908" s="915" t="s">
        <v>4567</v>
      </c>
      <c r="C908" s="915" t="str">
        <f t="shared" si="14"/>
        <v>11월</v>
      </c>
      <c r="D908" s="916" t="s">
        <v>4395</v>
      </c>
      <c r="E908" s="916" t="s">
        <v>4365</v>
      </c>
      <c r="F908" s="916" t="s">
        <v>4366</v>
      </c>
      <c r="G908" s="915"/>
      <c r="H908" s="917">
        <v>7600</v>
      </c>
      <c r="I908" s="918"/>
      <c r="J908" s="917">
        <v>19669734</v>
      </c>
    </row>
    <row r="909" spans="1:10">
      <c r="A909" t="s">
        <v>4597</v>
      </c>
      <c r="B909" s="915" t="s">
        <v>4568</v>
      </c>
      <c r="C909" s="915" t="str">
        <f t="shared" si="14"/>
        <v>11월</v>
      </c>
      <c r="D909" s="916" t="s">
        <v>4569</v>
      </c>
      <c r="E909" s="916"/>
      <c r="F909" s="916" t="s">
        <v>4424</v>
      </c>
      <c r="G909" s="915"/>
      <c r="H909" s="917">
        <v>4000</v>
      </c>
      <c r="I909" s="918"/>
      <c r="J909" s="917">
        <v>19673734</v>
      </c>
    </row>
    <row r="910" spans="1:10">
      <c r="A910" t="s">
        <v>4597</v>
      </c>
      <c r="B910" s="915" t="s">
        <v>4570</v>
      </c>
      <c r="C910" s="915" t="str">
        <f t="shared" si="14"/>
        <v>11월</v>
      </c>
      <c r="D910" s="916" t="s">
        <v>4395</v>
      </c>
      <c r="E910" s="916" t="s">
        <v>4365</v>
      </c>
      <c r="F910" s="916" t="s">
        <v>4366</v>
      </c>
      <c r="G910" s="915"/>
      <c r="H910" s="917">
        <v>1240</v>
      </c>
      <c r="I910" s="918"/>
      <c r="J910" s="918"/>
    </row>
    <row r="911" spans="1:10">
      <c r="A911" t="s">
        <v>4597</v>
      </c>
      <c r="B911" s="915" t="s">
        <v>4570</v>
      </c>
      <c r="C911" s="915" t="str">
        <f t="shared" si="14"/>
        <v>11월</v>
      </c>
      <c r="D911" s="916" t="s">
        <v>4529</v>
      </c>
      <c r="E911" s="916" t="s">
        <v>4400</v>
      </c>
      <c r="F911" s="916" t="s">
        <v>4401</v>
      </c>
      <c r="G911" s="915"/>
      <c r="H911" s="917">
        <v>240</v>
      </c>
      <c r="I911" s="918"/>
      <c r="J911" s="917">
        <v>19675214</v>
      </c>
    </row>
    <row r="912" spans="1:10">
      <c r="A912" t="s">
        <v>4597</v>
      </c>
      <c r="B912" s="915" t="s">
        <v>3901</v>
      </c>
      <c r="C912" s="915" t="str">
        <f t="shared" si="14"/>
        <v>11월</v>
      </c>
      <c r="D912" s="916" t="s">
        <v>4571</v>
      </c>
      <c r="E912" s="916"/>
      <c r="F912" s="916" t="s">
        <v>4572</v>
      </c>
      <c r="G912" s="915"/>
      <c r="H912" s="917">
        <v>10000</v>
      </c>
      <c r="I912" s="918"/>
      <c r="J912" s="918"/>
    </row>
    <row r="913" spans="1:10">
      <c r="A913" t="s">
        <v>4597</v>
      </c>
      <c r="B913" s="915" t="s">
        <v>3901</v>
      </c>
      <c r="C913" s="915" t="str">
        <f t="shared" si="14"/>
        <v>11월</v>
      </c>
      <c r="D913" s="916" t="s">
        <v>4571</v>
      </c>
      <c r="E913" s="916"/>
      <c r="F913" s="916" t="s">
        <v>4572</v>
      </c>
      <c r="G913" s="915"/>
      <c r="H913" s="917">
        <v>30000</v>
      </c>
      <c r="I913" s="918"/>
      <c r="J913" s="918"/>
    </row>
    <row r="914" spans="1:10">
      <c r="A914" t="s">
        <v>4597</v>
      </c>
      <c r="B914" s="915" t="s">
        <v>3901</v>
      </c>
      <c r="C914" s="915" t="str">
        <f t="shared" si="14"/>
        <v>11월</v>
      </c>
      <c r="D914" s="916" t="s">
        <v>4571</v>
      </c>
      <c r="E914" s="916"/>
      <c r="F914" s="916" t="s">
        <v>4573</v>
      </c>
      <c r="G914" s="915"/>
      <c r="H914" s="917">
        <v>1600</v>
      </c>
      <c r="I914" s="918"/>
      <c r="J914" s="918"/>
    </row>
    <row r="915" spans="1:10">
      <c r="A915" t="s">
        <v>4597</v>
      </c>
      <c r="B915" s="915" t="s">
        <v>3901</v>
      </c>
      <c r="C915" s="915" t="str">
        <f t="shared" si="14"/>
        <v>11월</v>
      </c>
      <c r="D915" s="916" t="s">
        <v>4574</v>
      </c>
      <c r="E915" s="916" t="s">
        <v>4575</v>
      </c>
      <c r="F915" s="916" t="s">
        <v>4576</v>
      </c>
      <c r="G915" s="915"/>
      <c r="H915" s="917">
        <v>400</v>
      </c>
      <c r="I915" s="918"/>
      <c r="J915" s="918"/>
    </row>
    <row r="916" spans="1:10">
      <c r="A916" t="s">
        <v>4597</v>
      </c>
      <c r="B916" s="915" t="s">
        <v>3901</v>
      </c>
      <c r="C916" s="915" t="str">
        <f t="shared" si="14"/>
        <v>11월</v>
      </c>
      <c r="D916" s="916" t="s">
        <v>4577</v>
      </c>
      <c r="E916" s="916" t="s">
        <v>4578</v>
      </c>
      <c r="F916" s="916" t="s">
        <v>694</v>
      </c>
      <c r="G916" s="915"/>
      <c r="H916" s="917">
        <v>500</v>
      </c>
      <c r="I916" s="918"/>
      <c r="J916" s="918"/>
    </row>
    <row r="917" spans="1:10">
      <c r="A917" t="s">
        <v>4597</v>
      </c>
      <c r="B917" s="915" t="s">
        <v>3901</v>
      </c>
      <c r="C917" s="915" t="str">
        <f t="shared" si="14"/>
        <v>11월</v>
      </c>
      <c r="D917" s="916" t="s">
        <v>4557</v>
      </c>
      <c r="E917" s="916" t="s">
        <v>4562</v>
      </c>
      <c r="F917" s="916" t="s">
        <v>4563</v>
      </c>
      <c r="G917" s="915"/>
      <c r="H917" s="917">
        <v>500</v>
      </c>
      <c r="I917" s="918"/>
      <c r="J917" s="918"/>
    </row>
    <row r="918" spans="1:10">
      <c r="A918" t="s">
        <v>4597</v>
      </c>
      <c r="B918" s="915" t="s">
        <v>3901</v>
      </c>
      <c r="C918" s="915" t="str">
        <f t="shared" si="14"/>
        <v>11월</v>
      </c>
      <c r="D918" s="916" t="s">
        <v>4557</v>
      </c>
      <c r="E918" s="916" t="s">
        <v>4369</v>
      </c>
      <c r="F918" s="916" t="s">
        <v>4555</v>
      </c>
      <c r="G918" s="915"/>
      <c r="H918" s="917">
        <v>500</v>
      </c>
      <c r="I918" s="918"/>
      <c r="J918" s="918"/>
    </row>
    <row r="919" spans="1:10">
      <c r="A919" t="s">
        <v>4597</v>
      </c>
      <c r="B919" s="915" t="s">
        <v>3901</v>
      </c>
      <c r="C919" s="915" t="str">
        <f t="shared" si="14"/>
        <v>11월</v>
      </c>
      <c r="D919" s="916" t="s">
        <v>4557</v>
      </c>
      <c r="E919" s="916" t="s">
        <v>4579</v>
      </c>
      <c r="F919" s="916" t="s">
        <v>4580</v>
      </c>
      <c r="G919" s="915"/>
      <c r="H919" s="917">
        <v>500</v>
      </c>
      <c r="I919" s="918"/>
      <c r="J919" s="918"/>
    </row>
    <row r="920" spans="1:10">
      <c r="A920" t="s">
        <v>4597</v>
      </c>
      <c r="B920" s="915" t="s">
        <v>3901</v>
      </c>
      <c r="C920" s="915" t="str">
        <f t="shared" si="14"/>
        <v>11월</v>
      </c>
      <c r="D920" s="916" t="s">
        <v>4557</v>
      </c>
      <c r="E920" s="916" t="s">
        <v>4581</v>
      </c>
      <c r="F920" s="916" t="s">
        <v>4582</v>
      </c>
      <c r="G920" s="915"/>
      <c r="H920" s="917">
        <v>500</v>
      </c>
      <c r="I920" s="918"/>
      <c r="J920" s="918"/>
    </row>
    <row r="921" spans="1:10">
      <c r="A921" t="s">
        <v>4597</v>
      </c>
      <c r="B921" s="915" t="s">
        <v>3901</v>
      </c>
      <c r="C921" s="915" t="str">
        <f t="shared" si="14"/>
        <v>11월</v>
      </c>
      <c r="D921" s="916" t="s">
        <v>4557</v>
      </c>
      <c r="E921" s="916"/>
      <c r="F921" s="916"/>
      <c r="G921" s="915"/>
      <c r="H921" s="917">
        <v>500</v>
      </c>
      <c r="I921" s="918"/>
      <c r="J921" s="918"/>
    </row>
    <row r="922" spans="1:10">
      <c r="A922" t="s">
        <v>4597</v>
      </c>
      <c r="B922" s="915" t="s">
        <v>3901</v>
      </c>
      <c r="C922" s="915" t="str">
        <f t="shared" si="14"/>
        <v>11월</v>
      </c>
      <c r="D922" s="916" t="s">
        <v>4557</v>
      </c>
      <c r="E922" s="916"/>
      <c r="F922" s="916"/>
      <c r="G922" s="915"/>
      <c r="H922" s="917">
        <v>500</v>
      </c>
      <c r="I922" s="918"/>
      <c r="J922" s="918"/>
    </row>
    <row r="923" spans="1:10">
      <c r="A923" t="s">
        <v>4597</v>
      </c>
      <c r="B923" s="915" t="s">
        <v>3901</v>
      </c>
      <c r="C923" s="915" t="str">
        <f t="shared" si="14"/>
        <v>11월</v>
      </c>
      <c r="D923" s="916" t="s">
        <v>4557</v>
      </c>
      <c r="E923" s="916"/>
      <c r="F923" s="916"/>
      <c r="G923" s="915"/>
      <c r="H923" s="917">
        <v>500</v>
      </c>
      <c r="I923" s="918"/>
      <c r="J923" s="917">
        <v>19721214</v>
      </c>
    </row>
    <row r="924" spans="1:10">
      <c r="A924" t="s">
        <v>4597</v>
      </c>
      <c r="B924" s="915" t="s">
        <v>4287</v>
      </c>
      <c r="C924" s="915" t="str">
        <f t="shared" si="14"/>
        <v>11월</v>
      </c>
      <c r="D924" s="916" t="s">
        <v>4395</v>
      </c>
      <c r="E924" s="916" t="s">
        <v>4365</v>
      </c>
      <c r="F924" s="916" t="s">
        <v>4366</v>
      </c>
      <c r="G924" s="915"/>
      <c r="H924" s="917">
        <v>200080</v>
      </c>
      <c r="I924" s="918"/>
      <c r="J924" s="917">
        <v>19921294</v>
      </c>
    </row>
    <row r="925" spans="1:10">
      <c r="A925" t="s">
        <v>4597</v>
      </c>
      <c r="B925" s="915" t="s">
        <v>3996</v>
      </c>
      <c r="C925" s="915" t="str">
        <f t="shared" si="14"/>
        <v>11월</v>
      </c>
      <c r="D925" s="916" t="s">
        <v>4421</v>
      </c>
      <c r="E925" s="916" t="s">
        <v>4400</v>
      </c>
      <c r="F925" s="916" t="s">
        <v>4401</v>
      </c>
      <c r="G925" s="915"/>
      <c r="H925" s="917">
        <v>240</v>
      </c>
      <c r="I925" s="918"/>
      <c r="J925" s="917">
        <v>19921534</v>
      </c>
    </row>
    <row r="926" spans="1:10">
      <c r="A926" t="s">
        <v>4597</v>
      </c>
      <c r="B926" s="915" t="s">
        <v>3841</v>
      </c>
      <c r="C926" s="915" t="str">
        <f t="shared" si="14"/>
        <v>11월</v>
      </c>
      <c r="D926" s="916" t="s">
        <v>4412</v>
      </c>
      <c r="E926" s="916"/>
      <c r="F926" s="916"/>
      <c r="G926" s="915"/>
      <c r="H926" s="917">
        <v>-8720</v>
      </c>
      <c r="I926" s="918"/>
      <c r="J926" s="918"/>
    </row>
    <row r="927" spans="1:10">
      <c r="A927" t="s">
        <v>4597</v>
      </c>
      <c r="B927" s="915" t="s">
        <v>3841</v>
      </c>
      <c r="C927" s="915" t="str">
        <f t="shared" si="14"/>
        <v>11월</v>
      </c>
      <c r="D927" s="916" t="s">
        <v>4583</v>
      </c>
      <c r="E927" s="916" t="s">
        <v>4202</v>
      </c>
      <c r="F927" s="916" t="s">
        <v>4203</v>
      </c>
      <c r="G927" s="915" t="s">
        <v>4204</v>
      </c>
      <c r="H927" s="917">
        <v>-75160</v>
      </c>
      <c r="I927" s="918"/>
      <c r="J927" s="918"/>
    </row>
    <row r="928" spans="1:10">
      <c r="A928" t="s">
        <v>4597</v>
      </c>
      <c r="B928" s="915" t="s">
        <v>3841</v>
      </c>
      <c r="C928" s="915" t="str">
        <f t="shared" si="14"/>
        <v>11월</v>
      </c>
      <c r="D928" s="916" t="s">
        <v>4584</v>
      </c>
      <c r="E928" s="916" t="s">
        <v>4197</v>
      </c>
      <c r="F928" s="916" t="s">
        <v>4198</v>
      </c>
      <c r="G928" s="915" t="s">
        <v>4199</v>
      </c>
      <c r="H928" s="917">
        <v>-75160</v>
      </c>
      <c r="I928" s="918"/>
      <c r="J928" s="918"/>
    </row>
    <row r="929" spans="1:10">
      <c r="A929" t="s">
        <v>4597</v>
      </c>
      <c r="B929" s="915" t="s">
        <v>3841</v>
      </c>
      <c r="C929" s="915" t="str">
        <f t="shared" si="14"/>
        <v>11월</v>
      </c>
      <c r="D929" s="916" t="s">
        <v>4585</v>
      </c>
      <c r="E929" s="916" t="s">
        <v>4160</v>
      </c>
      <c r="F929" s="916" t="s">
        <v>4161</v>
      </c>
      <c r="G929" s="915" t="s">
        <v>4162</v>
      </c>
      <c r="H929" s="917">
        <v>-150320</v>
      </c>
      <c r="I929" s="918"/>
      <c r="J929" s="917">
        <v>19612174</v>
      </c>
    </row>
    <row r="930" spans="1:10">
      <c r="A930" t="s">
        <v>4597</v>
      </c>
      <c r="B930" s="915" t="s">
        <v>3997</v>
      </c>
      <c r="C930" s="915" t="str">
        <f t="shared" si="14"/>
        <v>12월</v>
      </c>
      <c r="D930" s="916" t="s">
        <v>4395</v>
      </c>
      <c r="E930" s="916" t="s">
        <v>4365</v>
      </c>
      <c r="F930" s="916" t="s">
        <v>4366</v>
      </c>
      <c r="G930" s="915"/>
      <c r="H930" s="917">
        <v>25660</v>
      </c>
      <c r="I930" s="918"/>
      <c r="J930" s="917">
        <v>19637834</v>
      </c>
    </row>
    <row r="931" spans="1:10">
      <c r="A931" t="s">
        <v>4597</v>
      </c>
      <c r="B931" s="915" t="s">
        <v>4355</v>
      </c>
      <c r="C931" s="915" t="str">
        <f t="shared" si="14"/>
        <v>12월</v>
      </c>
      <c r="D931" s="916" t="s">
        <v>4529</v>
      </c>
      <c r="E931" s="916" t="s">
        <v>4400</v>
      </c>
      <c r="F931" s="916" t="s">
        <v>4401</v>
      </c>
      <c r="G931" s="915"/>
      <c r="H931" s="917">
        <v>240</v>
      </c>
      <c r="I931" s="918"/>
      <c r="J931" s="917">
        <v>19638074</v>
      </c>
    </row>
    <row r="932" spans="1:10">
      <c r="A932" t="s">
        <v>4597</v>
      </c>
      <c r="B932" s="915" t="s">
        <v>4586</v>
      </c>
      <c r="C932" s="915" t="str">
        <f t="shared" si="14"/>
        <v>12월</v>
      </c>
      <c r="D932" s="916" t="s">
        <v>4395</v>
      </c>
      <c r="E932" s="916" t="s">
        <v>4365</v>
      </c>
      <c r="F932" s="916" t="s">
        <v>4366</v>
      </c>
      <c r="G932" s="915"/>
      <c r="H932" s="917">
        <v>23280</v>
      </c>
      <c r="I932" s="918"/>
      <c r="J932" s="918"/>
    </row>
    <row r="933" spans="1:10">
      <c r="A933" t="s">
        <v>4597</v>
      </c>
      <c r="B933" s="915" t="s">
        <v>4586</v>
      </c>
      <c r="C933" s="915" t="str">
        <f t="shared" si="14"/>
        <v>12월</v>
      </c>
      <c r="D933" s="916" t="s">
        <v>4587</v>
      </c>
      <c r="E933" s="916" t="s">
        <v>4400</v>
      </c>
      <c r="F933" s="916" t="s">
        <v>4401</v>
      </c>
      <c r="G933" s="915"/>
      <c r="H933" s="917">
        <v>240</v>
      </c>
      <c r="I933" s="918"/>
      <c r="J933" s="917">
        <v>19661594</v>
      </c>
    </row>
    <row r="934" spans="1:10">
      <c r="A934" t="s">
        <v>4597</v>
      </c>
      <c r="B934" s="915" t="s">
        <v>4588</v>
      </c>
      <c r="C934" s="915" t="str">
        <f t="shared" si="14"/>
        <v>12월</v>
      </c>
      <c r="D934" s="916" t="s">
        <v>4479</v>
      </c>
      <c r="E934" s="916" t="s">
        <v>4369</v>
      </c>
      <c r="F934" s="916" t="s">
        <v>4370</v>
      </c>
      <c r="G934" s="915"/>
      <c r="H934" s="917">
        <v>138600</v>
      </c>
      <c r="I934" s="918"/>
      <c r="J934" s="918"/>
    </row>
    <row r="935" spans="1:10">
      <c r="A935" t="s">
        <v>4597</v>
      </c>
      <c r="B935" s="915" t="s">
        <v>4588</v>
      </c>
      <c r="C935" s="915" t="str">
        <f t="shared" si="14"/>
        <v>12월</v>
      </c>
      <c r="D935" s="916" t="s">
        <v>4589</v>
      </c>
      <c r="E935" s="916" t="s">
        <v>4369</v>
      </c>
      <c r="F935" s="916" t="s">
        <v>4370</v>
      </c>
      <c r="G935" s="915"/>
      <c r="H935" s="917">
        <v>2288</v>
      </c>
      <c r="I935" s="918"/>
      <c r="J935" s="917">
        <v>19802482</v>
      </c>
    </row>
    <row r="936" spans="1:10">
      <c r="A936" t="s">
        <v>4597</v>
      </c>
      <c r="B936" s="915" t="s">
        <v>4000</v>
      </c>
      <c r="C936" s="915" t="str">
        <f t="shared" si="14"/>
        <v>12월</v>
      </c>
      <c r="D936" s="916" t="s">
        <v>4412</v>
      </c>
      <c r="E936" s="916"/>
      <c r="F936" s="916"/>
      <c r="G936" s="915"/>
      <c r="H936" s="917">
        <v>-18280</v>
      </c>
      <c r="I936" s="918"/>
      <c r="J936" s="917">
        <v>19784202</v>
      </c>
    </row>
    <row r="937" spans="1:10">
      <c r="A937" t="s">
        <v>4597</v>
      </c>
      <c r="B937" s="915" t="s">
        <v>3856</v>
      </c>
      <c r="C937" s="915" t="str">
        <f t="shared" si="14"/>
        <v>12월</v>
      </c>
      <c r="D937" s="916" t="s">
        <v>4389</v>
      </c>
      <c r="E937" s="916" t="s">
        <v>4390</v>
      </c>
      <c r="F937" s="916" t="s">
        <v>4391</v>
      </c>
      <c r="G937" s="915" t="s">
        <v>4392</v>
      </c>
      <c r="H937" s="917">
        <v>451000</v>
      </c>
      <c r="I937" s="918"/>
      <c r="J937" s="918"/>
    </row>
    <row r="938" spans="1:10">
      <c r="A938" t="s">
        <v>4597</v>
      </c>
      <c r="B938" s="915" t="s">
        <v>3856</v>
      </c>
      <c r="C938" s="915" t="str">
        <f t="shared" si="14"/>
        <v>12월</v>
      </c>
      <c r="D938" s="916" t="s">
        <v>4590</v>
      </c>
      <c r="E938" s="916" t="s">
        <v>4373</v>
      </c>
      <c r="F938" s="916" t="s">
        <v>4374</v>
      </c>
      <c r="G938" s="915" t="s">
        <v>4375</v>
      </c>
      <c r="H938" s="917">
        <v>35000</v>
      </c>
      <c r="I938" s="918"/>
      <c r="J938" s="917">
        <v>20270202</v>
      </c>
    </row>
    <row r="939" spans="1:10">
      <c r="A939" t="s">
        <v>4597</v>
      </c>
      <c r="B939" s="915" t="s">
        <v>4215</v>
      </c>
      <c r="C939" s="915" t="str">
        <f t="shared" si="14"/>
        <v>12월</v>
      </c>
      <c r="D939" s="916" t="s">
        <v>4395</v>
      </c>
      <c r="E939" s="916" t="s">
        <v>4365</v>
      </c>
      <c r="F939" s="916" t="s">
        <v>4366</v>
      </c>
      <c r="G939" s="915"/>
      <c r="H939" s="917">
        <v>26140</v>
      </c>
      <c r="I939" s="918"/>
      <c r="J939" s="917">
        <v>20296342</v>
      </c>
    </row>
    <row r="940" spans="1:10" ht="33.75">
      <c r="A940" t="s">
        <v>4597</v>
      </c>
      <c r="B940" s="915" t="s">
        <v>4591</v>
      </c>
      <c r="C940" s="915" t="str">
        <f t="shared" si="14"/>
        <v>12월</v>
      </c>
      <c r="D940" s="916" t="s">
        <v>4380</v>
      </c>
      <c r="E940" s="916" t="s">
        <v>4381</v>
      </c>
      <c r="F940" s="916" t="s">
        <v>4382</v>
      </c>
      <c r="G940" s="915" t="s">
        <v>4383</v>
      </c>
      <c r="H940" s="917">
        <v>66000</v>
      </c>
      <c r="I940" s="918"/>
      <c r="J940" s="918"/>
    </row>
    <row r="941" spans="1:10">
      <c r="A941" t="s">
        <v>4597</v>
      </c>
      <c r="B941" s="915" t="s">
        <v>4591</v>
      </c>
      <c r="C941" s="915" t="str">
        <f t="shared" si="14"/>
        <v>12월</v>
      </c>
      <c r="D941" s="916" t="s">
        <v>4592</v>
      </c>
      <c r="E941" s="916" t="s">
        <v>4369</v>
      </c>
      <c r="F941" s="916" t="s">
        <v>4370</v>
      </c>
      <c r="G941" s="915"/>
      <c r="H941" s="917">
        <v>3850</v>
      </c>
      <c r="I941" s="918"/>
      <c r="J941" s="917">
        <v>20366192</v>
      </c>
    </row>
    <row r="942" spans="1:10">
      <c r="A942" t="s">
        <v>4597</v>
      </c>
      <c r="B942" s="915" t="s">
        <v>3861</v>
      </c>
      <c r="C942" s="915" t="str">
        <f t="shared" si="14"/>
        <v>12월</v>
      </c>
      <c r="D942" s="916" t="s">
        <v>4395</v>
      </c>
      <c r="E942" s="916" t="s">
        <v>4365</v>
      </c>
      <c r="F942" s="916" t="s">
        <v>4366</v>
      </c>
      <c r="G942" s="915"/>
      <c r="H942" s="917">
        <v>7060</v>
      </c>
      <c r="I942" s="918"/>
      <c r="J942" s="917">
        <v>20373252</v>
      </c>
    </row>
    <row r="943" spans="1:10">
      <c r="A943" t="s">
        <v>4597</v>
      </c>
      <c r="B943" s="915" t="s">
        <v>3328</v>
      </c>
      <c r="C943" s="915" t="str">
        <f t="shared" si="14"/>
        <v>12월</v>
      </c>
      <c r="D943" s="916" t="s">
        <v>4395</v>
      </c>
      <c r="E943" s="916" t="s">
        <v>4365</v>
      </c>
      <c r="F943" s="916" t="s">
        <v>4366</v>
      </c>
      <c r="G943" s="915"/>
      <c r="H943" s="917">
        <v>1220</v>
      </c>
      <c r="I943" s="918"/>
      <c r="J943" s="917">
        <v>20374472</v>
      </c>
    </row>
    <row r="944" spans="1:10">
      <c r="A944" t="s">
        <v>4597</v>
      </c>
      <c r="B944" s="915" t="s">
        <v>3864</v>
      </c>
      <c r="C944" s="915" t="str">
        <f t="shared" si="14"/>
        <v>12월</v>
      </c>
      <c r="D944" s="916" t="s">
        <v>4593</v>
      </c>
      <c r="E944" s="916" t="s">
        <v>4369</v>
      </c>
      <c r="F944" s="916" t="s">
        <v>4555</v>
      </c>
      <c r="G944" s="915"/>
      <c r="H944" s="917">
        <v>5252</v>
      </c>
      <c r="I944" s="918"/>
      <c r="J944" s="917">
        <v>20379724</v>
      </c>
    </row>
    <row r="945" spans="1:10">
      <c r="A945" t="s">
        <v>4597</v>
      </c>
      <c r="B945" s="915" t="s">
        <v>3330</v>
      </c>
      <c r="C945" s="915" t="str">
        <f t="shared" si="14"/>
        <v>12월</v>
      </c>
      <c r="D945" s="916" t="s">
        <v>4531</v>
      </c>
      <c r="E945" s="916" t="s">
        <v>4400</v>
      </c>
      <c r="F945" s="916" t="s">
        <v>4401</v>
      </c>
      <c r="G945" s="915"/>
      <c r="H945" s="917">
        <v>240</v>
      </c>
      <c r="I945" s="918"/>
      <c r="J945" s="917">
        <v>20379964</v>
      </c>
    </row>
    <row r="946" spans="1:10">
      <c r="A946" t="s">
        <v>4597</v>
      </c>
      <c r="B946" s="915" t="s">
        <v>4291</v>
      </c>
      <c r="C946" s="915" t="str">
        <f t="shared" si="14"/>
        <v>12월</v>
      </c>
      <c r="D946" s="916" t="s">
        <v>4395</v>
      </c>
      <c r="E946" s="916" t="s">
        <v>4365</v>
      </c>
      <c r="F946" s="916" t="s">
        <v>4366</v>
      </c>
      <c r="G946" s="915"/>
      <c r="H946" s="917">
        <v>200020</v>
      </c>
      <c r="I946" s="918"/>
      <c r="J946" s="917">
        <v>20579984</v>
      </c>
    </row>
    <row r="947" spans="1:10">
      <c r="A947" t="s">
        <v>4597</v>
      </c>
      <c r="B947" s="915" t="s">
        <v>3865</v>
      </c>
      <c r="C947" s="915" t="str">
        <f t="shared" si="14"/>
        <v>12월</v>
      </c>
      <c r="D947" s="916" t="s">
        <v>4412</v>
      </c>
      <c r="E947" s="916"/>
      <c r="F947" s="916"/>
      <c r="G947" s="915"/>
      <c r="H947" s="917">
        <v>-8920</v>
      </c>
      <c r="I947" s="918"/>
      <c r="J947" s="917">
        <v>20571064</v>
      </c>
    </row>
    <row r="948" spans="1:10">
      <c r="A948" t="s">
        <v>4597</v>
      </c>
      <c r="B948" s="915" t="s">
        <v>3868</v>
      </c>
      <c r="C948" s="915" t="str">
        <f t="shared" si="14"/>
        <v>12월</v>
      </c>
      <c r="D948" s="916" t="s">
        <v>4594</v>
      </c>
      <c r="E948" s="916" t="s">
        <v>4400</v>
      </c>
      <c r="F948" s="916" t="s">
        <v>4401</v>
      </c>
      <c r="G948" s="915"/>
      <c r="H948" s="917">
        <v>240</v>
      </c>
      <c r="I948" s="918"/>
      <c r="J948" s="917">
        <v>20571304</v>
      </c>
    </row>
    <row r="949" spans="1:10">
      <c r="A949" t="s">
        <v>4597</v>
      </c>
      <c r="B949" s="915" t="s">
        <v>3332</v>
      </c>
      <c r="C949" s="915" t="str">
        <f t="shared" si="14"/>
        <v>12월</v>
      </c>
      <c r="D949" s="916" t="s">
        <v>4594</v>
      </c>
      <c r="E949" s="916" t="s">
        <v>4400</v>
      </c>
      <c r="F949" s="916" t="s">
        <v>4401</v>
      </c>
      <c r="G949" s="915"/>
      <c r="H949" s="917">
        <v>240</v>
      </c>
      <c r="I949" s="918"/>
      <c r="J949" s="918"/>
    </row>
    <row r="950" spans="1:10">
      <c r="A950" t="s">
        <v>4597</v>
      </c>
      <c r="B950" s="915" t="s">
        <v>3332</v>
      </c>
      <c r="C950" s="915" t="str">
        <f t="shared" si="14"/>
        <v>12월</v>
      </c>
      <c r="D950" s="916" t="s">
        <v>4595</v>
      </c>
      <c r="E950" s="916" t="s">
        <v>4197</v>
      </c>
      <c r="F950" s="916" t="s">
        <v>4198</v>
      </c>
      <c r="G950" s="915" t="s">
        <v>4199</v>
      </c>
      <c r="H950" s="917">
        <v>-75160</v>
      </c>
      <c r="I950" s="918"/>
      <c r="J950" s="918"/>
    </row>
    <row r="951" spans="1:10">
      <c r="A951" t="s">
        <v>4597</v>
      </c>
      <c r="B951" s="915" t="s">
        <v>3332</v>
      </c>
      <c r="C951" s="915" t="str">
        <f t="shared" si="14"/>
        <v>12월</v>
      </c>
      <c r="D951" s="916" t="s">
        <v>4596</v>
      </c>
      <c r="E951" s="916" t="s">
        <v>4160</v>
      </c>
      <c r="F951" s="916" t="s">
        <v>4161</v>
      </c>
      <c r="G951" s="915" t="s">
        <v>4162</v>
      </c>
      <c r="H951" s="917">
        <v>-150320</v>
      </c>
      <c r="I951" s="918"/>
      <c r="J951" s="917">
        <v>20346064</v>
      </c>
    </row>
    <row r="952" spans="1:10">
      <c r="A952" t="s">
        <v>4629</v>
      </c>
      <c r="B952" s="915" t="s">
        <v>3640</v>
      </c>
      <c r="C952" s="915" t="str">
        <f t="shared" si="14"/>
        <v>1월</v>
      </c>
      <c r="D952" s="916" t="s">
        <v>4598</v>
      </c>
      <c r="E952" s="916"/>
      <c r="F952" s="916" t="s">
        <v>4599</v>
      </c>
      <c r="G952" s="915"/>
      <c r="H952" s="917">
        <v>15000</v>
      </c>
      <c r="I952" s="918"/>
      <c r="J952" s="918"/>
    </row>
    <row r="953" spans="1:10">
      <c r="A953" t="s">
        <v>4629</v>
      </c>
      <c r="B953" s="915" t="s">
        <v>3640</v>
      </c>
      <c r="C953" s="915" t="str">
        <f t="shared" si="14"/>
        <v>1월</v>
      </c>
      <c r="D953" s="916" t="s">
        <v>4598</v>
      </c>
      <c r="E953" s="916"/>
      <c r="F953" s="916" t="s">
        <v>4600</v>
      </c>
      <c r="G953" s="915"/>
      <c r="H953" s="917">
        <v>15000</v>
      </c>
      <c r="I953" s="918"/>
      <c r="J953" s="917">
        <v>30000</v>
      </c>
    </row>
    <row r="954" spans="1:10">
      <c r="A954" t="s">
        <v>4629</v>
      </c>
      <c r="B954" s="915" t="s">
        <v>3667</v>
      </c>
      <c r="C954" s="915" t="str">
        <f t="shared" si="14"/>
        <v>2월</v>
      </c>
      <c r="D954" s="916" t="s">
        <v>4601</v>
      </c>
      <c r="E954" s="916" t="s">
        <v>4602</v>
      </c>
      <c r="F954" s="916" t="s">
        <v>4603</v>
      </c>
      <c r="G954" s="915" t="s">
        <v>4604</v>
      </c>
      <c r="H954" s="917">
        <v>26400</v>
      </c>
      <c r="I954" s="918"/>
      <c r="J954" s="917">
        <v>56400</v>
      </c>
    </row>
    <row r="955" spans="1:10">
      <c r="A955" t="s">
        <v>4629</v>
      </c>
      <c r="B955" s="915" t="s">
        <v>4069</v>
      </c>
      <c r="C955" s="915" t="str">
        <f t="shared" si="14"/>
        <v>2월</v>
      </c>
      <c r="D955" s="916" t="s">
        <v>4605</v>
      </c>
      <c r="E955" s="916" t="s">
        <v>4602</v>
      </c>
      <c r="F955" s="916" t="s">
        <v>4603</v>
      </c>
      <c r="G955" s="915" t="s">
        <v>4604</v>
      </c>
      <c r="H955" s="917">
        <v>8800</v>
      </c>
      <c r="I955" s="918"/>
      <c r="J955" s="917">
        <v>65200</v>
      </c>
    </row>
    <row r="956" spans="1:10">
      <c r="A956" t="s">
        <v>4629</v>
      </c>
      <c r="B956" s="915" t="s">
        <v>4236</v>
      </c>
      <c r="C956" s="915" t="str">
        <f t="shared" si="14"/>
        <v>2월</v>
      </c>
      <c r="D956" s="916" t="s">
        <v>4606</v>
      </c>
      <c r="E956" s="916"/>
      <c r="F956" s="916" t="s">
        <v>4599</v>
      </c>
      <c r="G956" s="915"/>
      <c r="H956" s="917">
        <v>15000</v>
      </c>
      <c r="I956" s="918"/>
      <c r="J956" s="918"/>
    </row>
    <row r="957" spans="1:10">
      <c r="A957" t="s">
        <v>4629</v>
      </c>
      <c r="B957" s="915" t="s">
        <v>4236</v>
      </c>
      <c r="C957" s="915" t="str">
        <f t="shared" si="14"/>
        <v>2월</v>
      </c>
      <c r="D957" s="916" t="s">
        <v>4606</v>
      </c>
      <c r="E957" s="916"/>
      <c r="F957" s="916" t="s">
        <v>4600</v>
      </c>
      <c r="G957" s="915"/>
      <c r="H957" s="917">
        <v>15000</v>
      </c>
      <c r="I957" s="918"/>
      <c r="J957" s="917">
        <v>95200</v>
      </c>
    </row>
    <row r="958" spans="1:10">
      <c r="A958" t="s">
        <v>4629</v>
      </c>
      <c r="B958" s="915" t="s">
        <v>3700</v>
      </c>
      <c r="C958" s="915" t="str">
        <f t="shared" si="14"/>
        <v>3월</v>
      </c>
      <c r="D958" s="916" t="s">
        <v>4607</v>
      </c>
      <c r="E958" s="916" t="s">
        <v>4602</v>
      </c>
      <c r="F958" s="916" t="s">
        <v>4603</v>
      </c>
      <c r="G958" s="915" t="s">
        <v>4604</v>
      </c>
      <c r="H958" s="917">
        <v>5500</v>
      </c>
      <c r="I958" s="918"/>
      <c r="J958" s="917">
        <v>100700</v>
      </c>
    </row>
    <row r="959" spans="1:10">
      <c r="A959" t="s">
        <v>4629</v>
      </c>
      <c r="B959" s="915" t="s">
        <v>3706</v>
      </c>
      <c r="C959" s="915" t="str">
        <f t="shared" si="14"/>
        <v>3월</v>
      </c>
      <c r="D959" s="916" t="s">
        <v>4608</v>
      </c>
      <c r="E959" s="916"/>
      <c r="F959" s="916" t="s">
        <v>4599</v>
      </c>
      <c r="G959" s="915"/>
      <c r="H959" s="917">
        <v>15000</v>
      </c>
      <c r="I959" s="918"/>
      <c r="J959" s="918"/>
    </row>
    <row r="960" spans="1:10">
      <c r="A960" t="s">
        <v>4629</v>
      </c>
      <c r="B960" s="915" t="s">
        <v>3706</v>
      </c>
      <c r="C960" s="915" t="str">
        <f t="shared" si="14"/>
        <v>3월</v>
      </c>
      <c r="D960" s="916" t="s">
        <v>4608</v>
      </c>
      <c r="E960" s="916"/>
      <c r="F960" s="916" t="s">
        <v>4600</v>
      </c>
      <c r="G960" s="915"/>
      <c r="H960" s="917">
        <v>15000</v>
      </c>
      <c r="I960" s="918"/>
      <c r="J960" s="917">
        <v>130700</v>
      </c>
    </row>
    <row r="961" spans="1:10">
      <c r="A961" t="s">
        <v>4629</v>
      </c>
      <c r="B961" s="915" t="s">
        <v>3719</v>
      </c>
      <c r="C961" s="915" t="str">
        <f t="shared" si="14"/>
        <v>4월</v>
      </c>
      <c r="D961" s="916" t="s">
        <v>4609</v>
      </c>
      <c r="E961" s="916" t="s">
        <v>4602</v>
      </c>
      <c r="F961" s="916" t="s">
        <v>4603</v>
      </c>
      <c r="G961" s="915" t="s">
        <v>4604</v>
      </c>
      <c r="H961" s="917">
        <v>14300</v>
      </c>
      <c r="I961" s="918"/>
      <c r="J961" s="917">
        <v>145000</v>
      </c>
    </row>
    <row r="962" spans="1:10">
      <c r="A962" t="s">
        <v>4629</v>
      </c>
      <c r="B962" s="915" t="s">
        <v>4447</v>
      </c>
      <c r="C962" s="915" t="str">
        <f t="shared" si="14"/>
        <v>4월</v>
      </c>
      <c r="D962" s="916" t="s">
        <v>4610</v>
      </c>
      <c r="E962" s="916" t="s">
        <v>4449</v>
      </c>
      <c r="F962" s="916" t="s">
        <v>4450</v>
      </c>
      <c r="G962" s="915" t="s">
        <v>4451</v>
      </c>
      <c r="H962" s="917">
        <v>140000</v>
      </c>
      <c r="I962" s="918"/>
      <c r="J962" s="917">
        <v>285000</v>
      </c>
    </row>
    <row r="963" spans="1:10">
      <c r="A963" t="s">
        <v>4629</v>
      </c>
      <c r="B963" s="915" t="s">
        <v>4332</v>
      </c>
      <c r="C963" s="915" t="str">
        <f t="shared" ref="C963:C1026" si="15">MONTH(B963)&amp;"월"</f>
        <v>4월</v>
      </c>
      <c r="D963" s="916" t="s">
        <v>4611</v>
      </c>
      <c r="E963" s="916"/>
      <c r="F963" s="916" t="s">
        <v>4599</v>
      </c>
      <c r="G963" s="915"/>
      <c r="H963" s="917">
        <v>15000</v>
      </c>
      <c r="I963" s="918"/>
      <c r="J963" s="918"/>
    </row>
    <row r="964" spans="1:10">
      <c r="A964" t="s">
        <v>4629</v>
      </c>
      <c r="B964" s="915" t="s">
        <v>4332</v>
      </c>
      <c r="C964" s="915" t="str">
        <f t="shared" si="15"/>
        <v>4월</v>
      </c>
      <c r="D964" s="916" t="s">
        <v>4611</v>
      </c>
      <c r="E964" s="916"/>
      <c r="F964" s="916" t="s">
        <v>4600</v>
      </c>
      <c r="G964" s="915"/>
      <c r="H964" s="917">
        <v>15000</v>
      </c>
      <c r="I964" s="918"/>
      <c r="J964" s="917">
        <v>315000</v>
      </c>
    </row>
    <row r="965" spans="1:10">
      <c r="A965" t="s">
        <v>4629</v>
      </c>
      <c r="B965" s="915" t="s">
        <v>3747</v>
      </c>
      <c r="C965" s="915" t="str">
        <f t="shared" si="15"/>
        <v>5월</v>
      </c>
      <c r="D965" s="916" t="s">
        <v>4612</v>
      </c>
      <c r="E965" s="916"/>
      <c r="F965" s="916" t="s">
        <v>4599</v>
      </c>
      <c r="G965" s="915"/>
      <c r="H965" s="917">
        <v>15000</v>
      </c>
      <c r="I965" s="918"/>
      <c r="J965" s="918"/>
    </row>
    <row r="966" spans="1:10">
      <c r="A966" t="s">
        <v>4629</v>
      </c>
      <c r="B966" s="915" t="s">
        <v>3747</v>
      </c>
      <c r="C966" s="915" t="str">
        <f t="shared" si="15"/>
        <v>5월</v>
      </c>
      <c r="D966" s="916" t="s">
        <v>4612</v>
      </c>
      <c r="E966" s="916"/>
      <c r="F966" s="916" t="s">
        <v>4600</v>
      </c>
      <c r="G966" s="915"/>
      <c r="H966" s="917">
        <v>15000</v>
      </c>
      <c r="I966" s="918"/>
      <c r="J966" s="917">
        <v>345000</v>
      </c>
    </row>
    <row r="967" spans="1:10">
      <c r="A967" t="s">
        <v>4629</v>
      </c>
      <c r="B967" s="915" t="s">
        <v>4049</v>
      </c>
      <c r="C967" s="915" t="str">
        <f t="shared" si="15"/>
        <v>6월</v>
      </c>
      <c r="D967" s="916" t="s">
        <v>4613</v>
      </c>
      <c r="E967" s="916"/>
      <c r="F967" s="916" t="s">
        <v>4599</v>
      </c>
      <c r="G967" s="915"/>
      <c r="H967" s="917">
        <v>15000</v>
      </c>
      <c r="I967" s="918"/>
      <c r="J967" s="918"/>
    </row>
    <row r="968" spans="1:10">
      <c r="A968" t="s">
        <v>4629</v>
      </c>
      <c r="B968" s="915" t="s">
        <v>4049</v>
      </c>
      <c r="C968" s="915" t="str">
        <f t="shared" si="15"/>
        <v>6월</v>
      </c>
      <c r="D968" s="916" t="s">
        <v>4613</v>
      </c>
      <c r="E968" s="916"/>
      <c r="F968" s="916" t="s">
        <v>4600</v>
      </c>
      <c r="G968" s="915"/>
      <c r="H968" s="917">
        <v>15000</v>
      </c>
      <c r="I968" s="918"/>
      <c r="J968" s="917">
        <v>375000</v>
      </c>
    </row>
    <row r="969" spans="1:10">
      <c r="A969" t="s">
        <v>4629</v>
      </c>
      <c r="B969" s="915" t="s">
        <v>3613</v>
      </c>
      <c r="C969" s="915" t="str">
        <f t="shared" si="15"/>
        <v>6월</v>
      </c>
      <c r="D969" s="916" t="s">
        <v>4614</v>
      </c>
      <c r="E969" s="916" t="s">
        <v>4449</v>
      </c>
      <c r="F969" s="916" t="s">
        <v>4450</v>
      </c>
      <c r="G969" s="915" t="s">
        <v>4451</v>
      </c>
      <c r="H969" s="917">
        <v>14000</v>
      </c>
      <c r="I969" s="918"/>
      <c r="J969" s="917">
        <v>389000</v>
      </c>
    </row>
    <row r="970" spans="1:10">
      <c r="A970" t="s">
        <v>4629</v>
      </c>
      <c r="B970" s="915" t="s">
        <v>3757</v>
      </c>
      <c r="C970" s="915" t="str">
        <f t="shared" si="15"/>
        <v>7월</v>
      </c>
      <c r="D970" s="916" t="s">
        <v>4615</v>
      </c>
      <c r="E970" s="916" t="s">
        <v>4602</v>
      </c>
      <c r="F970" s="916" t="s">
        <v>4603</v>
      </c>
      <c r="G970" s="915" t="s">
        <v>4604</v>
      </c>
      <c r="H970" s="917">
        <v>8800</v>
      </c>
      <c r="I970" s="918"/>
      <c r="J970" s="918"/>
    </row>
    <row r="971" spans="1:10">
      <c r="A971" t="s">
        <v>4629</v>
      </c>
      <c r="B971" s="915" t="s">
        <v>3757</v>
      </c>
      <c r="C971" s="915" t="str">
        <f t="shared" si="15"/>
        <v>7월</v>
      </c>
      <c r="D971" s="916" t="s">
        <v>4616</v>
      </c>
      <c r="E971" s="916"/>
      <c r="F971" s="916" t="s">
        <v>4617</v>
      </c>
      <c r="G971" s="915"/>
      <c r="H971" s="917">
        <v>3000</v>
      </c>
      <c r="I971" s="918"/>
      <c r="J971" s="917">
        <v>400800</v>
      </c>
    </row>
    <row r="972" spans="1:10">
      <c r="A972" t="s">
        <v>4629</v>
      </c>
      <c r="B972" s="915" t="s">
        <v>4499</v>
      </c>
      <c r="C972" s="915" t="str">
        <f t="shared" si="15"/>
        <v>7월</v>
      </c>
      <c r="D972" s="916" t="s">
        <v>4615</v>
      </c>
      <c r="E972" s="916" t="s">
        <v>4602</v>
      </c>
      <c r="F972" s="916" t="s">
        <v>4603</v>
      </c>
      <c r="G972" s="915" t="s">
        <v>4604</v>
      </c>
      <c r="H972" s="917">
        <v>11000</v>
      </c>
      <c r="I972" s="918"/>
      <c r="J972" s="917">
        <v>411800</v>
      </c>
    </row>
    <row r="973" spans="1:10">
      <c r="A973" t="s">
        <v>4629</v>
      </c>
      <c r="B973" s="915" t="s">
        <v>4118</v>
      </c>
      <c r="C973" s="915" t="str">
        <f t="shared" si="15"/>
        <v>7월</v>
      </c>
      <c r="D973" s="916" t="s">
        <v>4615</v>
      </c>
      <c r="E973" s="916" t="s">
        <v>4602</v>
      </c>
      <c r="F973" s="916" t="s">
        <v>4603</v>
      </c>
      <c r="G973" s="915" t="s">
        <v>4604</v>
      </c>
      <c r="H973" s="917">
        <v>13200</v>
      </c>
      <c r="I973" s="918"/>
      <c r="J973" s="917">
        <v>425000</v>
      </c>
    </row>
    <row r="974" spans="1:10">
      <c r="A974" t="s">
        <v>4629</v>
      </c>
      <c r="B974" s="915" t="s">
        <v>3326</v>
      </c>
      <c r="C974" s="915" t="str">
        <f t="shared" si="15"/>
        <v>7월</v>
      </c>
      <c r="D974" s="916" t="s">
        <v>4618</v>
      </c>
      <c r="E974" s="916"/>
      <c r="F974" s="916" t="s">
        <v>4599</v>
      </c>
      <c r="G974" s="915"/>
      <c r="H974" s="917">
        <v>15000</v>
      </c>
      <c r="I974" s="918"/>
      <c r="J974" s="918"/>
    </row>
    <row r="975" spans="1:10">
      <c r="A975" t="s">
        <v>4629</v>
      </c>
      <c r="B975" s="915" t="s">
        <v>3326</v>
      </c>
      <c r="C975" s="915" t="str">
        <f t="shared" si="15"/>
        <v>7월</v>
      </c>
      <c r="D975" s="916" t="s">
        <v>4618</v>
      </c>
      <c r="E975" s="916"/>
      <c r="F975" s="916" t="s">
        <v>4600</v>
      </c>
      <c r="G975" s="915"/>
      <c r="H975" s="917">
        <v>15000</v>
      </c>
      <c r="I975" s="918"/>
      <c r="J975" s="917">
        <v>455000</v>
      </c>
    </row>
    <row r="976" spans="1:10">
      <c r="A976" t="s">
        <v>4629</v>
      </c>
      <c r="B976" s="915" t="s">
        <v>3969</v>
      </c>
      <c r="C976" s="915" t="str">
        <f t="shared" si="15"/>
        <v>7월</v>
      </c>
      <c r="D976" s="916" t="s">
        <v>4619</v>
      </c>
      <c r="E976" s="916" t="s">
        <v>4602</v>
      </c>
      <c r="F976" s="916" t="s">
        <v>4603</v>
      </c>
      <c r="G976" s="915" t="s">
        <v>4604</v>
      </c>
      <c r="H976" s="917">
        <v>8800</v>
      </c>
      <c r="I976" s="918"/>
      <c r="J976" s="917">
        <v>463800</v>
      </c>
    </row>
    <row r="977" spans="1:10">
      <c r="A977" t="s">
        <v>4629</v>
      </c>
      <c r="B977" s="915" t="s">
        <v>4532</v>
      </c>
      <c r="C977" s="915" t="str">
        <f t="shared" si="15"/>
        <v>8월</v>
      </c>
      <c r="D977" s="916" t="s">
        <v>4620</v>
      </c>
      <c r="E977" s="916"/>
      <c r="F977" s="916" t="s">
        <v>4599</v>
      </c>
      <c r="G977" s="915"/>
      <c r="H977" s="917">
        <v>15000</v>
      </c>
      <c r="I977" s="918"/>
      <c r="J977" s="918"/>
    </row>
    <row r="978" spans="1:10">
      <c r="A978" t="s">
        <v>4629</v>
      </c>
      <c r="B978" s="915" t="s">
        <v>4532</v>
      </c>
      <c r="C978" s="915" t="str">
        <f t="shared" si="15"/>
        <v>8월</v>
      </c>
      <c r="D978" s="916" t="s">
        <v>4620</v>
      </c>
      <c r="E978" s="916"/>
      <c r="F978" s="916" t="s">
        <v>4600</v>
      </c>
      <c r="G978" s="915"/>
      <c r="H978" s="917">
        <v>15000</v>
      </c>
      <c r="I978" s="918"/>
      <c r="J978" s="917">
        <v>493800</v>
      </c>
    </row>
    <row r="979" spans="1:10">
      <c r="A979" t="s">
        <v>4629</v>
      </c>
      <c r="B979" s="915" t="s">
        <v>3974</v>
      </c>
      <c r="C979" s="915" t="str">
        <f t="shared" si="15"/>
        <v>9월</v>
      </c>
      <c r="D979" s="916" t="s">
        <v>4619</v>
      </c>
      <c r="E979" s="916" t="s">
        <v>4602</v>
      </c>
      <c r="F979" s="916" t="s">
        <v>4603</v>
      </c>
      <c r="G979" s="915" t="s">
        <v>4604</v>
      </c>
      <c r="H979" s="917">
        <v>49500</v>
      </c>
      <c r="I979" s="918"/>
      <c r="J979" s="917">
        <v>543300</v>
      </c>
    </row>
    <row r="980" spans="1:10">
      <c r="A980" t="s">
        <v>4629</v>
      </c>
      <c r="B980" s="915" t="s">
        <v>3616</v>
      </c>
      <c r="C980" s="915" t="str">
        <f t="shared" si="15"/>
        <v>9월</v>
      </c>
      <c r="D980" s="916" t="s">
        <v>4621</v>
      </c>
      <c r="E980" s="916"/>
      <c r="F980" s="916" t="s">
        <v>4599</v>
      </c>
      <c r="G980" s="915"/>
      <c r="H980" s="917">
        <v>15000</v>
      </c>
      <c r="I980" s="918"/>
      <c r="J980" s="918"/>
    </row>
    <row r="981" spans="1:10">
      <c r="A981" t="s">
        <v>4629</v>
      </c>
      <c r="B981" s="915" t="s">
        <v>3616</v>
      </c>
      <c r="C981" s="915" t="str">
        <f t="shared" si="15"/>
        <v>9월</v>
      </c>
      <c r="D981" s="916" t="s">
        <v>4621</v>
      </c>
      <c r="E981" s="916"/>
      <c r="F981" s="916" t="s">
        <v>4600</v>
      </c>
      <c r="G981" s="915"/>
      <c r="H981" s="917">
        <v>15000</v>
      </c>
      <c r="I981" s="918"/>
      <c r="J981" s="917">
        <v>573300</v>
      </c>
    </row>
    <row r="982" spans="1:10">
      <c r="A982" t="s">
        <v>4629</v>
      </c>
      <c r="B982" s="915" t="s">
        <v>4144</v>
      </c>
      <c r="C982" s="915" t="str">
        <f t="shared" si="15"/>
        <v>10월</v>
      </c>
      <c r="D982" s="916" t="s">
        <v>4619</v>
      </c>
      <c r="E982" s="916" t="s">
        <v>4622</v>
      </c>
      <c r="F982" s="916" t="s">
        <v>4623</v>
      </c>
      <c r="G982" s="915" t="s">
        <v>4624</v>
      </c>
      <c r="H982" s="917">
        <v>8800</v>
      </c>
      <c r="I982" s="918"/>
      <c r="J982" s="917">
        <v>582100</v>
      </c>
    </row>
    <row r="983" spans="1:10">
      <c r="A983" t="s">
        <v>4629</v>
      </c>
      <c r="B983" s="915" t="s">
        <v>4625</v>
      </c>
      <c r="C983" s="915" t="str">
        <f t="shared" si="15"/>
        <v>11월</v>
      </c>
      <c r="D983" s="916" t="s">
        <v>4626</v>
      </c>
      <c r="E983" s="916"/>
      <c r="F983" s="916" t="s">
        <v>4599</v>
      </c>
      <c r="G983" s="915"/>
      <c r="H983" s="917">
        <v>15000</v>
      </c>
      <c r="I983" s="918"/>
      <c r="J983" s="918"/>
    </row>
    <row r="984" spans="1:10">
      <c r="A984" t="s">
        <v>4629</v>
      </c>
      <c r="B984" s="915" t="s">
        <v>4625</v>
      </c>
      <c r="C984" s="915" t="str">
        <f t="shared" si="15"/>
        <v>11월</v>
      </c>
      <c r="D984" s="916" t="s">
        <v>4626</v>
      </c>
      <c r="E984" s="916"/>
      <c r="F984" s="916" t="s">
        <v>4600</v>
      </c>
      <c r="G984" s="915"/>
      <c r="H984" s="917">
        <v>15000</v>
      </c>
      <c r="I984" s="918"/>
      <c r="J984" s="917">
        <v>612100</v>
      </c>
    </row>
    <row r="985" spans="1:10">
      <c r="A985" t="s">
        <v>4629</v>
      </c>
      <c r="B985" s="915" t="s">
        <v>3996</v>
      </c>
      <c r="C985" s="915" t="str">
        <f t="shared" si="15"/>
        <v>11월</v>
      </c>
      <c r="D985" s="916" t="s">
        <v>4627</v>
      </c>
      <c r="E985" s="916"/>
      <c r="F985" s="916" t="s">
        <v>4599</v>
      </c>
      <c r="G985" s="915"/>
      <c r="H985" s="917">
        <v>15000</v>
      </c>
      <c r="I985" s="918"/>
      <c r="J985" s="918"/>
    </row>
    <row r="986" spans="1:10">
      <c r="A986" t="s">
        <v>4629</v>
      </c>
      <c r="B986" s="915" t="s">
        <v>3996</v>
      </c>
      <c r="C986" s="915" t="str">
        <f t="shared" si="15"/>
        <v>11월</v>
      </c>
      <c r="D986" s="916" t="s">
        <v>4627</v>
      </c>
      <c r="E986" s="916"/>
      <c r="F986" s="916" t="s">
        <v>4600</v>
      </c>
      <c r="G986" s="915"/>
      <c r="H986" s="917">
        <v>15000</v>
      </c>
      <c r="I986" s="918"/>
      <c r="J986" s="917">
        <v>642100</v>
      </c>
    </row>
    <row r="987" spans="1:10">
      <c r="A987" t="s">
        <v>4629</v>
      </c>
      <c r="B987" s="915" t="s">
        <v>4219</v>
      </c>
      <c r="C987" s="915" t="str">
        <f t="shared" si="15"/>
        <v>12월</v>
      </c>
      <c r="D987" s="916" t="s">
        <v>4628</v>
      </c>
      <c r="E987" s="916"/>
      <c r="F987" s="916" t="s">
        <v>4599</v>
      </c>
      <c r="G987" s="915"/>
      <c r="H987" s="917">
        <v>15000</v>
      </c>
      <c r="I987" s="918"/>
      <c r="J987" s="918"/>
    </row>
    <row r="988" spans="1:10">
      <c r="A988" t="s">
        <v>4629</v>
      </c>
      <c r="B988" s="915" t="s">
        <v>4219</v>
      </c>
      <c r="C988" s="915" t="str">
        <f t="shared" si="15"/>
        <v>12월</v>
      </c>
      <c r="D988" s="916" t="s">
        <v>4628</v>
      </c>
      <c r="E988" s="916"/>
      <c r="F988" s="916" t="s">
        <v>4600</v>
      </c>
      <c r="G988" s="915"/>
      <c r="H988" s="917">
        <v>15000</v>
      </c>
      <c r="I988" s="918"/>
      <c r="J988" s="917">
        <v>672100</v>
      </c>
    </row>
    <row r="989" spans="1:10">
      <c r="A989" t="s">
        <v>4650</v>
      </c>
      <c r="B989" s="915" t="s">
        <v>3635</v>
      </c>
      <c r="C989" s="915" t="str">
        <f t="shared" si="15"/>
        <v>1월</v>
      </c>
      <c r="D989" s="916" t="s">
        <v>4298</v>
      </c>
      <c r="E989" s="916"/>
      <c r="F989" s="916" t="s">
        <v>4630</v>
      </c>
      <c r="G989" s="915"/>
      <c r="H989" s="917">
        <v>72800</v>
      </c>
      <c r="I989" s="918"/>
      <c r="J989" s="918"/>
    </row>
    <row r="990" spans="1:10">
      <c r="A990" t="s">
        <v>4650</v>
      </c>
      <c r="B990" s="915" t="s">
        <v>3635</v>
      </c>
      <c r="C990" s="915" t="str">
        <f t="shared" si="15"/>
        <v>1월</v>
      </c>
      <c r="D990" s="916" t="s">
        <v>4631</v>
      </c>
      <c r="E990" s="916" t="s">
        <v>4632</v>
      </c>
      <c r="F990" s="916" t="s">
        <v>4633</v>
      </c>
      <c r="G990" s="915" t="s">
        <v>4634</v>
      </c>
      <c r="H990" s="917">
        <v>213400</v>
      </c>
      <c r="I990" s="918"/>
      <c r="J990" s="918"/>
    </row>
    <row r="991" spans="1:10">
      <c r="A991" t="s">
        <v>4650</v>
      </c>
      <c r="B991" s="915" t="s">
        <v>3635</v>
      </c>
      <c r="C991" s="915" t="str">
        <f t="shared" si="15"/>
        <v>1월</v>
      </c>
      <c r="D991" s="916" t="s">
        <v>4631</v>
      </c>
      <c r="E991" s="916"/>
      <c r="F991" s="916" t="s">
        <v>4635</v>
      </c>
      <c r="G991" s="915"/>
      <c r="H991" s="917">
        <v>20500</v>
      </c>
      <c r="I991" s="918"/>
      <c r="J991" s="917">
        <v>306700</v>
      </c>
    </row>
    <row r="992" spans="1:10">
      <c r="A992" t="s">
        <v>4650</v>
      </c>
      <c r="B992" s="915" t="s">
        <v>3640</v>
      </c>
      <c r="C992" s="915" t="str">
        <f t="shared" si="15"/>
        <v>1월</v>
      </c>
      <c r="D992" s="916" t="s">
        <v>4636</v>
      </c>
      <c r="E992" s="916"/>
      <c r="F992" s="916" t="s">
        <v>4635</v>
      </c>
      <c r="G992" s="915"/>
      <c r="H992" s="917">
        <v>5000</v>
      </c>
      <c r="I992" s="918"/>
      <c r="J992" s="917">
        <v>311700</v>
      </c>
    </row>
    <row r="993" spans="1:10">
      <c r="A993" t="s">
        <v>4650</v>
      </c>
      <c r="B993" s="915" t="s">
        <v>3667</v>
      </c>
      <c r="C993" s="915" t="str">
        <f t="shared" si="15"/>
        <v>2월</v>
      </c>
      <c r="D993" s="916" t="s">
        <v>4637</v>
      </c>
      <c r="E993" s="916" t="s">
        <v>4638</v>
      </c>
      <c r="F993" s="916" t="s">
        <v>4635</v>
      </c>
      <c r="G993" s="915" t="s">
        <v>4639</v>
      </c>
      <c r="H993" s="917">
        <v>378000</v>
      </c>
      <c r="I993" s="918"/>
      <c r="J993" s="918"/>
    </row>
    <row r="994" spans="1:10">
      <c r="A994" t="s">
        <v>4650</v>
      </c>
      <c r="B994" s="915" t="s">
        <v>3667</v>
      </c>
      <c r="C994" s="915" t="str">
        <f t="shared" si="15"/>
        <v>2월</v>
      </c>
      <c r="D994" s="916" t="s">
        <v>4636</v>
      </c>
      <c r="E994" s="916" t="s">
        <v>4638</v>
      </c>
      <c r="F994" s="916" t="s">
        <v>4635</v>
      </c>
      <c r="G994" s="915" t="s">
        <v>4639</v>
      </c>
      <c r="H994" s="917">
        <v>24500</v>
      </c>
      <c r="I994" s="918"/>
      <c r="J994" s="918"/>
    </row>
    <row r="995" spans="1:10">
      <c r="A995" t="s">
        <v>4650</v>
      </c>
      <c r="B995" s="915" t="s">
        <v>3667</v>
      </c>
      <c r="C995" s="915" t="str">
        <f t="shared" si="15"/>
        <v>2월</v>
      </c>
      <c r="D995" s="916" t="s">
        <v>4636</v>
      </c>
      <c r="E995" s="916" t="s">
        <v>4638</v>
      </c>
      <c r="F995" s="916" t="s">
        <v>4635</v>
      </c>
      <c r="G995" s="915" t="s">
        <v>4639</v>
      </c>
      <c r="H995" s="917">
        <v>41750</v>
      </c>
      <c r="I995" s="918"/>
      <c r="J995" s="918"/>
    </row>
    <row r="996" spans="1:10">
      <c r="A996" t="s">
        <v>4650</v>
      </c>
      <c r="B996" s="915" t="s">
        <v>3667</v>
      </c>
      <c r="C996" s="915" t="str">
        <f t="shared" si="15"/>
        <v>2월</v>
      </c>
      <c r="D996" s="916" t="s">
        <v>4636</v>
      </c>
      <c r="E996" s="916"/>
      <c r="F996" s="916" t="s">
        <v>4305</v>
      </c>
      <c r="G996" s="915"/>
      <c r="H996" s="917">
        <v>7750</v>
      </c>
      <c r="I996" s="918"/>
      <c r="J996" s="917">
        <v>763700</v>
      </c>
    </row>
    <row r="997" spans="1:10">
      <c r="A997" t="s">
        <v>4650</v>
      </c>
      <c r="B997" s="915" t="s">
        <v>3676</v>
      </c>
      <c r="C997" s="915" t="str">
        <f t="shared" si="15"/>
        <v>2월</v>
      </c>
      <c r="D997" s="916" t="s">
        <v>4640</v>
      </c>
      <c r="E997" s="916" t="s">
        <v>4632</v>
      </c>
      <c r="F997" s="916" t="s">
        <v>4633</v>
      </c>
      <c r="G997" s="915" t="s">
        <v>4634</v>
      </c>
      <c r="H997" s="917">
        <v>1510000</v>
      </c>
      <c r="I997" s="918"/>
      <c r="J997" s="917">
        <v>2273700</v>
      </c>
    </row>
    <row r="998" spans="1:10">
      <c r="A998" t="s">
        <v>4650</v>
      </c>
      <c r="B998" s="915" t="s">
        <v>3680</v>
      </c>
      <c r="C998" s="915" t="str">
        <f t="shared" si="15"/>
        <v>2월</v>
      </c>
      <c r="D998" s="916" t="s">
        <v>4641</v>
      </c>
      <c r="E998" s="916"/>
      <c r="F998" s="916" t="s">
        <v>4642</v>
      </c>
      <c r="G998" s="915"/>
      <c r="H998" s="917">
        <v>260000</v>
      </c>
      <c r="I998" s="918"/>
      <c r="J998" s="918"/>
    </row>
    <row r="999" spans="1:10">
      <c r="A999" t="s">
        <v>4650</v>
      </c>
      <c r="B999" s="915" t="s">
        <v>3680</v>
      </c>
      <c r="C999" s="915" t="str">
        <f t="shared" si="15"/>
        <v>2월</v>
      </c>
      <c r="D999" s="916" t="s">
        <v>4637</v>
      </c>
      <c r="E999" s="916"/>
      <c r="F999" s="916" t="s">
        <v>4643</v>
      </c>
      <c r="G999" s="915"/>
      <c r="H999" s="917">
        <v>60000</v>
      </c>
      <c r="I999" s="918"/>
      <c r="J999" s="917">
        <v>2593700</v>
      </c>
    </row>
    <row r="1000" spans="1:10">
      <c r="A1000" t="s">
        <v>4650</v>
      </c>
      <c r="B1000" s="915" t="s">
        <v>4236</v>
      </c>
      <c r="C1000" s="915" t="str">
        <f t="shared" si="15"/>
        <v>2월</v>
      </c>
      <c r="D1000" s="916" t="s">
        <v>4644</v>
      </c>
      <c r="E1000" s="916"/>
      <c r="F1000" s="916" t="s">
        <v>4645</v>
      </c>
      <c r="G1000" s="915"/>
      <c r="H1000" s="917">
        <v>55520</v>
      </c>
      <c r="I1000" s="918"/>
      <c r="J1000" s="917">
        <v>2649220</v>
      </c>
    </row>
    <row r="1001" spans="1:10" ht="22.5">
      <c r="A1001" t="s">
        <v>4650</v>
      </c>
      <c r="B1001" s="915" t="s">
        <v>4418</v>
      </c>
      <c r="C1001" s="915" t="str">
        <f t="shared" si="15"/>
        <v>3월</v>
      </c>
      <c r="D1001" s="916" t="s">
        <v>4646</v>
      </c>
      <c r="E1001" s="916" t="s">
        <v>4632</v>
      </c>
      <c r="F1001" s="916" t="s">
        <v>4633</v>
      </c>
      <c r="G1001" s="915" t="s">
        <v>4634</v>
      </c>
      <c r="H1001" s="917">
        <v>737000</v>
      </c>
      <c r="I1001" s="918"/>
      <c r="J1001" s="917">
        <v>3386220</v>
      </c>
    </row>
    <row r="1002" spans="1:10">
      <c r="A1002" t="s">
        <v>4650</v>
      </c>
      <c r="B1002" s="915" t="s">
        <v>3608</v>
      </c>
      <c r="C1002" s="915" t="str">
        <f t="shared" si="15"/>
        <v>6월</v>
      </c>
      <c r="D1002" s="916" t="s">
        <v>4647</v>
      </c>
      <c r="E1002" s="916" t="s">
        <v>4638</v>
      </c>
      <c r="F1002" s="916" t="s">
        <v>4635</v>
      </c>
      <c r="G1002" s="915" t="s">
        <v>4639</v>
      </c>
      <c r="H1002" s="917">
        <v>5000</v>
      </c>
      <c r="I1002" s="918"/>
      <c r="J1002" s="917">
        <v>3391220</v>
      </c>
    </row>
    <row r="1003" spans="1:10">
      <c r="A1003" t="s">
        <v>4650</v>
      </c>
      <c r="B1003" s="915" t="s">
        <v>3901</v>
      </c>
      <c r="C1003" s="915" t="str">
        <f t="shared" si="15"/>
        <v>11월</v>
      </c>
      <c r="D1003" s="916" t="s">
        <v>4648</v>
      </c>
      <c r="E1003" s="916"/>
      <c r="F1003" s="916" t="s">
        <v>4617</v>
      </c>
      <c r="G1003" s="915"/>
      <c r="H1003" s="917">
        <v>9000</v>
      </c>
      <c r="I1003" s="918"/>
      <c r="J1003" s="917">
        <v>3400220</v>
      </c>
    </row>
    <row r="1004" spans="1:10">
      <c r="A1004" t="s">
        <v>4650</v>
      </c>
      <c r="B1004" s="915" t="s">
        <v>3332</v>
      </c>
      <c r="C1004" s="915" t="str">
        <f t="shared" si="15"/>
        <v>12월</v>
      </c>
      <c r="D1004" s="916" t="s">
        <v>4649</v>
      </c>
      <c r="E1004" s="916"/>
      <c r="F1004" s="916" t="s">
        <v>4635</v>
      </c>
      <c r="G1004" s="915"/>
      <c r="H1004" s="917">
        <v>6432</v>
      </c>
      <c r="I1004" s="918"/>
      <c r="J1004" s="917">
        <v>3406652</v>
      </c>
    </row>
    <row r="1005" spans="1:10">
      <c r="A1005" t="s">
        <v>4655</v>
      </c>
      <c r="B1005" s="915" t="s">
        <v>3676</v>
      </c>
      <c r="C1005" s="915" t="str">
        <f t="shared" si="15"/>
        <v>2월</v>
      </c>
      <c r="D1005" s="916" t="s">
        <v>4651</v>
      </c>
      <c r="E1005" s="916"/>
      <c r="F1005" s="916" t="s">
        <v>4652</v>
      </c>
      <c r="G1005" s="915"/>
      <c r="H1005" s="917">
        <v>30000</v>
      </c>
      <c r="I1005" s="918"/>
      <c r="J1005" s="918"/>
    </row>
    <row r="1006" spans="1:10">
      <c r="A1006" t="s">
        <v>4655</v>
      </c>
      <c r="B1006" s="915" t="s">
        <v>3676</v>
      </c>
      <c r="C1006" s="915" t="str">
        <f t="shared" si="15"/>
        <v>2월</v>
      </c>
      <c r="D1006" s="916" t="s">
        <v>4653</v>
      </c>
      <c r="E1006" s="916"/>
      <c r="F1006" s="916" t="s">
        <v>4654</v>
      </c>
      <c r="G1006" s="915"/>
      <c r="H1006" s="917">
        <v>20000</v>
      </c>
      <c r="I1006" s="918"/>
      <c r="J1006" s="917">
        <v>50000</v>
      </c>
    </row>
    <row r="1007" spans="1:10">
      <c r="A1007" t="s">
        <v>4657</v>
      </c>
      <c r="B1007" s="915" t="s">
        <v>3969</v>
      </c>
      <c r="C1007" s="915" t="str">
        <f t="shared" si="15"/>
        <v>7월</v>
      </c>
      <c r="D1007" s="916" t="s">
        <v>4656</v>
      </c>
      <c r="E1007" s="916"/>
      <c r="F1007" s="916" t="s">
        <v>4645</v>
      </c>
      <c r="G1007" s="915"/>
      <c r="H1007" s="917">
        <v>7400</v>
      </c>
      <c r="I1007" s="918"/>
      <c r="J1007" s="917">
        <v>7400</v>
      </c>
    </row>
    <row r="1008" spans="1:10">
      <c r="A1008" t="s">
        <v>4765</v>
      </c>
      <c r="B1008" s="915" t="s">
        <v>3635</v>
      </c>
      <c r="C1008" s="915" t="str">
        <f t="shared" si="15"/>
        <v>1월</v>
      </c>
      <c r="D1008" s="916" t="s">
        <v>4658</v>
      </c>
      <c r="E1008" s="916" t="s">
        <v>4659</v>
      </c>
      <c r="F1008" s="916" t="s">
        <v>4660</v>
      </c>
      <c r="G1008" s="915" t="s">
        <v>4661</v>
      </c>
      <c r="H1008" s="917">
        <v>300000</v>
      </c>
      <c r="I1008" s="918"/>
      <c r="J1008" s="917">
        <v>300000</v>
      </c>
    </row>
    <row r="1009" spans="1:10">
      <c r="A1009" t="s">
        <v>4765</v>
      </c>
      <c r="B1009" s="915" t="s">
        <v>3640</v>
      </c>
      <c r="C1009" s="915" t="str">
        <f t="shared" si="15"/>
        <v>1월</v>
      </c>
      <c r="D1009" s="916" t="s">
        <v>4662</v>
      </c>
      <c r="E1009" s="916" t="s">
        <v>4663</v>
      </c>
      <c r="F1009" s="916" t="s">
        <v>4664</v>
      </c>
      <c r="G1009" s="915" t="s">
        <v>4665</v>
      </c>
      <c r="H1009" s="917">
        <v>70000</v>
      </c>
      <c r="I1009" s="918"/>
      <c r="J1009" s="917">
        <v>370000</v>
      </c>
    </row>
    <row r="1010" spans="1:10">
      <c r="A1010" t="s">
        <v>4765</v>
      </c>
      <c r="B1010" s="915" t="s">
        <v>3932</v>
      </c>
      <c r="C1010" s="915" t="str">
        <f t="shared" si="15"/>
        <v>1월</v>
      </c>
      <c r="D1010" s="916" t="s">
        <v>4666</v>
      </c>
      <c r="E1010" s="916" t="s">
        <v>4667</v>
      </c>
      <c r="F1010" s="916" t="s">
        <v>4668</v>
      </c>
      <c r="G1010" s="915" t="s">
        <v>4669</v>
      </c>
      <c r="H1010" s="917">
        <v>52000</v>
      </c>
      <c r="I1010" s="918"/>
      <c r="J1010" s="917">
        <v>422000</v>
      </c>
    </row>
    <row r="1011" spans="1:10">
      <c r="A1011" t="s">
        <v>4765</v>
      </c>
      <c r="B1011" s="915" t="s">
        <v>3649</v>
      </c>
      <c r="C1011" s="915" t="str">
        <f t="shared" si="15"/>
        <v>1월</v>
      </c>
      <c r="D1011" s="916" t="s">
        <v>4670</v>
      </c>
      <c r="E1011" s="916" t="s">
        <v>4671</v>
      </c>
      <c r="F1011" s="916" t="s">
        <v>4672</v>
      </c>
      <c r="G1011" s="915" t="s">
        <v>4673</v>
      </c>
      <c r="H1011" s="917">
        <v>650000</v>
      </c>
      <c r="I1011" s="918"/>
      <c r="J1011" s="918"/>
    </row>
    <row r="1012" spans="1:10" ht="22.5">
      <c r="A1012" t="s">
        <v>4765</v>
      </c>
      <c r="B1012" s="915" t="s">
        <v>3649</v>
      </c>
      <c r="C1012" s="915" t="str">
        <f t="shared" si="15"/>
        <v>1월</v>
      </c>
      <c r="D1012" s="916" t="s">
        <v>4674</v>
      </c>
      <c r="E1012" s="916"/>
      <c r="F1012" s="916" t="s">
        <v>4675</v>
      </c>
      <c r="G1012" s="915"/>
      <c r="H1012" s="917">
        <v>39700</v>
      </c>
      <c r="I1012" s="918"/>
      <c r="J1012" s="918"/>
    </row>
    <row r="1013" spans="1:10">
      <c r="A1013" t="s">
        <v>4765</v>
      </c>
      <c r="B1013" s="915" t="s">
        <v>3649</v>
      </c>
      <c r="C1013" s="915" t="str">
        <f t="shared" si="15"/>
        <v>1월</v>
      </c>
      <c r="D1013" s="916" t="s">
        <v>4676</v>
      </c>
      <c r="E1013" s="916" t="s">
        <v>4677</v>
      </c>
      <c r="F1013" s="916" t="s">
        <v>4678</v>
      </c>
      <c r="G1013" s="915" t="s">
        <v>4679</v>
      </c>
      <c r="H1013" s="917">
        <v>235000</v>
      </c>
      <c r="I1013" s="918"/>
      <c r="J1013" s="917">
        <v>1346700</v>
      </c>
    </row>
    <row r="1014" spans="1:10">
      <c r="A1014" t="s">
        <v>4765</v>
      </c>
      <c r="B1014" s="915" t="s">
        <v>3596</v>
      </c>
      <c r="C1014" s="915" t="str">
        <f t="shared" si="15"/>
        <v>2월</v>
      </c>
      <c r="D1014" s="916" t="s">
        <v>4680</v>
      </c>
      <c r="E1014" s="916" t="s">
        <v>4681</v>
      </c>
      <c r="F1014" s="916" t="s">
        <v>4682</v>
      </c>
      <c r="G1014" s="915" t="s">
        <v>4683</v>
      </c>
      <c r="H1014" s="917">
        <v>350000</v>
      </c>
      <c r="I1014" s="918"/>
      <c r="J1014" s="917">
        <v>1696700</v>
      </c>
    </row>
    <row r="1015" spans="1:10">
      <c r="A1015" t="s">
        <v>4765</v>
      </c>
      <c r="B1015" s="915" t="s">
        <v>4167</v>
      </c>
      <c r="C1015" s="915" t="str">
        <f t="shared" si="15"/>
        <v>2월</v>
      </c>
      <c r="D1015" s="916" t="s">
        <v>4662</v>
      </c>
      <c r="E1015" s="916" t="s">
        <v>4663</v>
      </c>
      <c r="F1015" s="916" t="s">
        <v>4664</v>
      </c>
      <c r="G1015" s="915" t="s">
        <v>4665</v>
      </c>
      <c r="H1015" s="917">
        <v>70000</v>
      </c>
      <c r="I1015" s="918"/>
      <c r="J1015" s="917">
        <v>1766700</v>
      </c>
    </row>
    <row r="1016" spans="1:10">
      <c r="A1016" t="s">
        <v>4765</v>
      </c>
      <c r="B1016" s="915" t="s">
        <v>3687</v>
      </c>
      <c r="C1016" s="915" t="str">
        <f t="shared" si="15"/>
        <v>2월</v>
      </c>
      <c r="D1016" s="916" t="s">
        <v>4684</v>
      </c>
      <c r="E1016" s="916" t="s">
        <v>4671</v>
      </c>
      <c r="F1016" s="916" t="s">
        <v>4672</v>
      </c>
      <c r="G1016" s="915" t="s">
        <v>4673</v>
      </c>
      <c r="H1016" s="917">
        <v>650000</v>
      </c>
      <c r="I1016" s="918"/>
      <c r="J1016" s="918"/>
    </row>
    <row r="1017" spans="1:10">
      <c r="A1017" t="s">
        <v>4765</v>
      </c>
      <c r="B1017" s="915" t="s">
        <v>3687</v>
      </c>
      <c r="C1017" s="915" t="str">
        <f t="shared" si="15"/>
        <v>2월</v>
      </c>
      <c r="D1017" s="916" t="s">
        <v>4666</v>
      </c>
      <c r="E1017" s="916" t="s">
        <v>4667</v>
      </c>
      <c r="F1017" s="916" t="s">
        <v>4668</v>
      </c>
      <c r="G1017" s="915" t="s">
        <v>4669</v>
      </c>
      <c r="H1017" s="917">
        <v>52000</v>
      </c>
      <c r="I1017" s="918"/>
      <c r="J1017" s="918"/>
    </row>
    <row r="1018" spans="1:10">
      <c r="A1018" t="s">
        <v>4765</v>
      </c>
      <c r="B1018" s="915" t="s">
        <v>3687</v>
      </c>
      <c r="C1018" s="915" t="str">
        <f t="shared" si="15"/>
        <v>2월</v>
      </c>
      <c r="D1018" s="916" t="s">
        <v>4676</v>
      </c>
      <c r="E1018" s="916" t="s">
        <v>4677</v>
      </c>
      <c r="F1018" s="916" t="s">
        <v>4678</v>
      </c>
      <c r="G1018" s="915" t="s">
        <v>4679</v>
      </c>
      <c r="H1018" s="917">
        <v>235000</v>
      </c>
      <c r="I1018" s="918"/>
      <c r="J1018" s="917">
        <v>2703700</v>
      </c>
    </row>
    <row r="1019" spans="1:10" ht="22.5">
      <c r="A1019" t="s">
        <v>4765</v>
      </c>
      <c r="B1019" s="915" t="s">
        <v>3693</v>
      </c>
      <c r="C1019" s="915" t="str">
        <f t="shared" si="15"/>
        <v>3월</v>
      </c>
      <c r="D1019" s="916" t="s">
        <v>4674</v>
      </c>
      <c r="E1019" s="916"/>
      <c r="F1019" s="916" t="s">
        <v>4675</v>
      </c>
      <c r="G1019" s="915"/>
      <c r="H1019" s="917">
        <v>39000</v>
      </c>
      <c r="I1019" s="918"/>
      <c r="J1019" s="917">
        <v>2742700</v>
      </c>
    </row>
    <row r="1020" spans="1:10">
      <c r="A1020" t="s">
        <v>4765</v>
      </c>
      <c r="B1020" s="915" t="s">
        <v>3698</v>
      </c>
      <c r="C1020" s="915" t="str">
        <f t="shared" si="15"/>
        <v>3월</v>
      </c>
      <c r="D1020" s="916" t="s">
        <v>4662</v>
      </c>
      <c r="E1020" s="916" t="s">
        <v>4663</v>
      </c>
      <c r="F1020" s="916" t="s">
        <v>4664</v>
      </c>
      <c r="G1020" s="915" t="s">
        <v>4665</v>
      </c>
      <c r="H1020" s="917">
        <v>70000</v>
      </c>
      <c r="I1020" s="918"/>
      <c r="J1020" s="917">
        <v>2812700</v>
      </c>
    </row>
    <row r="1021" spans="1:10">
      <c r="A1021" t="s">
        <v>4765</v>
      </c>
      <c r="B1021" s="915" t="s">
        <v>3700</v>
      </c>
      <c r="C1021" s="915" t="str">
        <f t="shared" si="15"/>
        <v>3월</v>
      </c>
      <c r="D1021" s="916" t="s">
        <v>4685</v>
      </c>
      <c r="E1021" s="916" t="s">
        <v>4390</v>
      </c>
      <c r="F1021" s="916" t="s">
        <v>4391</v>
      </c>
      <c r="G1021" s="915" t="s">
        <v>4392</v>
      </c>
      <c r="H1021" s="917">
        <v>33000</v>
      </c>
      <c r="I1021" s="918"/>
      <c r="J1021" s="917">
        <v>2845700</v>
      </c>
    </row>
    <row r="1022" spans="1:10">
      <c r="A1022" t="s">
        <v>4765</v>
      </c>
      <c r="B1022" s="915" t="s">
        <v>3706</v>
      </c>
      <c r="C1022" s="915" t="str">
        <f t="shared" si="15"/>
        <v>3월</v>
      </c>
      <c r="D1022" s="916" t="s">
        <v>4666</v>
      </c>
      <c r="E1022" s="916" t="s">
        <v>4667</v>
      </c>
      <c r="F1022" s="916" t="s">
        <v>4668</v>
      </c>
      <c r="G1022" s="915" t="s">
        <v>4669</v>
      </c>
      <c r="H1022" s="917">
        <v>52000</v>
      </c>
      <c r="I1022" s="918"/>
      <c r="J1022" s="917">
        <v>2897700</v>
      </c>
    </row>
    <row r="1023" spans="1:10">
      <c r="A1023" t="s">
        <v>4765</v>
      </c>
      <c r="B1023" s="915" t="s">
        <v>4177</v>
      </c>
      <c r="C1023" s="915" t="str">
        <f t="shared" si="15"/>
        <v>3월</v>
      </c>
      <c r="D1023" s="916" t="s">
        <v>4686</v>
      </c>
      <c r="E1023" s="916" t="s">
        <v>4671</v>
      </c>
      <c r="F1023" s="916" t="s">
        <v>4672</v>
      </c>
      <c r="G1023" s="915" t="s">
        <v>4673</v>
      </c>
      <c r="H1023" s="917">
        <v>650000</v>
      </c>
      <c r="I1023" s="918"/>
      <c r="J1023" s="918"/>
    </row>
    <row r="1024" spans="1:10">
      <c r="A1024" t="s">
        <v>4765</v>
      </c>
      <c r="B1024" s="915" t="s">
        <v>4177</v>
      </c>
      <c r="C1024" s="915" t="str">
        <f t="shared" si="15"/>
        <v>3월</v>
      </c>
      <c r="D1024" s="916" t="s">
        <v>4676</v>
      </c>
      <c r="E1024" s="916" t="s">
        <v>4677</v>
      </c>
      <c r="F1024" s="916" t="s">
        <v>4678</v>
      </c>
      <c r="G1024" s="915" t="s">
        <v>4679</v>
      </c>
      <c r="H1024" s="917">
        <v>235000</v>
      </c>
      <c r="I1024" s="918"/>
      <c r="J1024" s="917">
        <v>3782700</v>
      </c>
    </row>
    <row r="1025" spans="1:10" ht="22.5">
      <c r="A1025" t="s">
        <v>4765</v>
      </c>
      <c r="B1025" s="915" t="s">
        <v>4181</v>
      </c>
      <c r="C1025" s="915" t="str">
        <f t="shared" si="15"/>
        <v>4월</v>
      </c>
      <c r="D1025" s="916" t="s">
        <v>4674</v>
      </c>
      <c r="E1025" s="916"/>
      <c r="F1025" s="916" t="s">
        <v>4675</v>
      </c>
      <c r="G1025" s="915"/>
      <c r="H1025" s="917">
        <v>37000</v>
      </c>
      <c r="I1025" s="918"/>
      <c r="J1025" s="917">
        <v>3819700</v>
      </c>
    </row>
    <row r="1026" spans="1:10">
      <c r="A1026" t="s">
        <v>4765</v>
      </c>
      <c r="B1026" s="915" t="s">
        <v>4093</v>
      </c>
      <c r="C1026" s="915" t="str">
        <f t="shared" si="15"/>
        <v>4월</v>
      </c>
      <c r="D1026" s="916" t="s">
        <v>4666</v>
      </c>
      <c r="E1026" s="916" t="s">
        <v>4667</v>
      </c>
      <c r="F1026" s="916" t="s">
        <v>4668</v>
      </c>
      <c r="G1026" s="915" t="s">
        <v>4669</v>
      </c>
      <c r="H1026" s="917">
        <v>52000</v>
      </c>
      <c r="I1026" s="918"/>
      <c r="J1026" s="917">
        <v>3871700</v>
      </c>
    </row>
    <row r="1027" spans="1:10">
      <c r="A1027" t="s">
        <v>4765</v>
      </c>
      <c r="B1027" s="915" t="s">
        <v>4332</v>
      </c>
      <c r="C1027" s="915" t="str">
        <f t="shared" ref="C1027:C1090" si="16">MONTH(B1027)&amp;"월"</f>
        <v>4월</v>
      </c>
      <c r="D1027" s="916" t="s">
        <v>4662</v>
      </c>
      <c r="E1027" s="916" t="s">
        <v>4663</v>
      </c>
      <c r="F1027" s="916" t="s">
        <v>4664</v>
      </c>
      <c r="G1027" s="915" t="s">
        <v>4665</v>
      </c>
      <c r="H1027" s="917">
        <v>70000</v>
      </c>
      <c r="I1027" s="918"/>
      <c r="J1027" s="918"/>
    </row>
    <row r="1028" spans="1:10">
      <c r="A1028" t="s">
        <v>4765</v>
      </c>
      <c r="B1028" s="915" t="s">
        <v>4332</v>
      </c>
      <c r="C1028" s="915" t="str">
        <f t="shared" si="16"/>
        <v>4월</v>
      </c>
      <c r="D1028" s="916" t="s">
        <v>4687</v>
      </c>
      <c r="E1028" s="916" t="s">
        <v>4671</v>
      </c>
      <c r="F1028" s="916" t="s">
        <v>4672</v>
      </c>
      <c r="G1028" s="915" t="s">
        <v>4673</v>
      </c>
      <c r="H1028" s="917">
        <v>650000</v>
      </c>
      <c r="I1028" s="918"/>
      <c r="J1028" s="917">
        <v>4591700</v>
      </c>
    </row>
    <row r="1029" spans="1:10">
      <c r="A1029" t="s">
        <v>4765</v>
      </c>
      <c r="B1029" s="915" t="s">
        <v>4456</v>
      </c>
      <c r="C1029" s="915" t="str">
        <f t="shared" si="16"/>
        <v>5월</v>
      </c>
      <c r="D1029" s="916" t="s">
        <v>4676</v>
      </c>
      <c r="E1029" s="916" t="s">
        <v>4677</v>
      </c>
      <c r="F1029" s="916" t="s">
        <v>4678</v>
      </c>
      <c r="G1029" s="915" t="s">
        <v>4679</v>
      </c>
      <c r="H1029" s="917">
        <v>235000</v>
      </c>
      <c r="I1029" s="918"/>
      <c r="J1029" s="917">
        <v>4826700</v>
      </c>
    </row>
    <row r="1030" spans="1:10">
      <c r="A1030" t="s">
        <v>4765</v>
      </c>
      <c r="B1030" s="915" t="s">
        <v>4334</v>
      </c>
      <c r="C1030" s="915" t="str">
        <f t="shared" si="16"/>
        <v>5월</v>
      </c>
      <c r="D1030" s="916" t="s">
        <v>4688</v>
      </c>
      <c r="E1030" s="916" t="s">
        <v>4689</v>
      </c>
      <c r="F1030" s="916" t="s">
        <v>4690</v>
      </c>
      <c r="G1030" s="915" t="s">
        <v>4691</v>
      </c>
      <c r="H1030" s="917">
        <v>270000</v>
      </c>
      <c r="I1030" s="918"/>
      <c r="J1030" s="918"/>
    </row>
    <row r="1031" spans="1:10">
      <c r="A1031" t="s">
        <v>4765</v>
      </c>
      <c r="B1031" s="915" t="s">
        <v>4334</v>
      </c>
      <c r="C1031" s="915" t="str">
        <f t="shared" si="16"/>
        <v>5월</v>
      </c>
      <c r="D1031" s="916" t="s">
        <v>4692</v>
      </c>
      <c r="E1031" s="916" t="s">
        <v>4693</v>
      </c>
      <c r="F1031" s="916" t="s">
        <v>4694</v>
      </c>
      <c r="G1031" s="915" t="s">
        <v>4695</v>
      </c>
      <c r="H1031" s="917">
        <v>165000</v>
      </c>
      <c r="I1031" s="918"/>
      <c r="J1031" s="918"/>
    </row>
    <row r="1032" spans="1:10">
      <c r="A1032" t="s">
        <v>4765</v>
      </c>
      <c r="B1032" s="915" t="s">
        <v>4334</v>
      </c>
      <c r="C1032" s="915" t="str">
        <f t="shared" si="16"/>
        <v>5월</v>
      </c>
      <c r="D1032" s="916" t="s">
        <v>4696</v>
      </c>
      <c r="E1032" s="916"/>
      <c r="F1032" s="916" t="s">
        <v>4697</v>
      </c>
      <c r="G1032" s="915"/>
      <c r="H1032" s="917">
        <v>20000</v>
      </c>
      <c r="I1032" s="918"/>
      <c r="J1032" s="918"/>
    </row>
    <row r="1033" spans="1:10">
      <c r="A1033" t="s">
        <v>4765</v>
      </c>
      <c r="B1033" s="915" t="s">
        <v>4334</v>
      </c>
      <c r="C1033" s="915" t="str">
        <f t="shared" si="16"/>
        <v>5월</v>
      </c>
      <c r="D1033" s="916" t="s">
        <v>4698</v>
      </c>
      <c r="E1033" s="916" t="s">
        <v>4390</v>
      </c>
      <c r="F1033" s="916" t="s">
        <v>4391</v>
      </c>
      <c r="G1033" s="915" t="s">
        <v>4392</v>
      </c>
      <c r="H1033" s="917">
        <v>5500</v>
      </c>
      <c r="I1033" s="918"/>
      <c r="J1033" s="917">
        <v>5287200</v>
      </c>
    </row>
    <row r="1034" spans="1:10">
      <c r="A1034" t="s">
        <v>4765</v>
      </c>
      <c r="B1034" s="915" t="s">
        <v>4139</v>
      </c>
      <c r="C1034" s="915" t="str">
        <f t="shared" si="16"/>
        <v>5월</v>
      </c>
      <c r="D1034" s="916" t="s">
        <v>4699</v>
      </c>
      <c r="E1034" s="916" t="s">
        <v>4700</v>
      </c>
      <c r="F1034" s="916" t="s">
        <v>4701</v>
      </c>
      <c r="G1034" s="915" t="s">
        <v>4702</v>
      </c>
      <c r="H1034" s="917">
        <v>300000</v>
      </c>
      <c r="I1034" s="918"/>
      <c r="J1034" s="918"/>
    </row>
    <row r="1035" spans="1:10">
      <c r="A1035" t="s">
        <v>4765</v>
      </c>
      <c r="B1035" s="915" t="s">
        <v>4139</v>
      </c>
      <c r="C1035" s="915" t="str">
        <f t="shared" si="16"/>
        <v>5월</v>
      </c>
      <c r="D1035" s="916" t="s">
        <v>4699</v>
      </c>
      <c r="E1035" s="916" t="s">
        <v>4700</v>
      </c>
      <c r="F1035" s="916" t="s">
        <v>4701</v>
      </c>
      <c r="G1035" s="915" t="s">
        <v>4702</v>
      </c>
      <c r="H1035" s="917">
        <v>100000</v>
      </c>
      <c r="I1035" s="918"/>
      <c r="J1035" s="917">
        <v>5687200</v>
      </c>
    </row>
    <row r="1036" spans="1:10" ht="22.5">
      <c r="A1036" t="s">
        <v>4765</v>
      </c>
      <c r="B1036" s="915" t="s">
        <v>4186</v>
      </c>
      <c r="C1036" s="915" t="str">
        <f t="shared" si="16"/>
        <v>5월</v>
      </c>
      <c r="D1036" s="916" t="s">
        <v>4674</v>
      </c>
      <c r="E1036" s="916"/>
      <c r="F1036" s="916" t="s">
        <v>4675</v>
      </c>
      <c r="G1036" s="915"/>
      <c r="H1036" s="917">
        <v>19500</v>
      </c>
      <c r="I1036" s="918"/>
      <c r="J1036" s="918"/>
    </row>
    <row r="1037" spans="1:10" ht="22.5">
      <c r="A1037" t="s">
        <v>4765</v>
      </c>
      <c r="B1037" s="915" t="s">
        <v>4186</v>
      </c>
      <c r="C1037" s="915" t="str">
        <f t="shared" si="16"/>
        <v>5월</v>
      </c>
      <c r="D1037" s="916" t="s">
        <v>4674</v>
      </c>
      <c r="E1037" s="916"/>
      <c r="F1037" s="916" t="s">
        <v>4675</v>
      </c>
      <c r="G1037" s="915"/>
      <c r="H1037" s="917">
        <v>19500</v>
      </c>
      <c r="I1037" s="918"/>
      <c r="J1037" s="917">
        <v>5726200</v>
      </c>
    </row>
    <row r="1038" spans="1:10">
      <c r="A1038" t="s">
        <v>4765</v>
      </c>
      <c r="B1038" s="915" t="s">
        <v>3745</v>
      </c>
      <c r="C1038" s="915" t="str">
        <f t="shared" si="16"/>
        <v>5월</v>
      </c>
      <c r="D1038" s="916" t="s">
        <v>4703</v>
      </c>
      <c r="E1038" s="916"/>
      <c r="F1038" s="916" t="s">
        <v>4672</v>
      </c>
      <c r="G1038" s="915"/>
      <c r="H1038" s="917">
        <v>200000</v>
      </c>
      <c r="I1038" s="918"/>
      <c r="J1038" s="918"/>
    </row>
    <row r="1039" spans="1:10">
      <c r="A1039" t="s">
        <v>4765</v>
      </c>
      <c r="B1039" s="915" t="s">
        <v>3745</v>
      </c>
      <c r="C1039" s="915" t="str">
        <f t="shared" si="16"/>
        <v>5월</v>
      </c>
      <c r="D1039" s="916" t="s">
        <v>4666</v>
      </c>
      <c r="E1039" s="916" t="s">
        <v>4667</v>
      </c>
      <c r="F1039" s="916" t="s">
        <v>4668</v>
      </c>
      <c r="G1039" s="915" t="s">
        <v>4669</v>
      </c>
      <c r="H1039" s="917">
        <v>52000</v>
      </c>
      <c r="I1039" s="918"/>
      <c r="J1039" s="917">
        <v>5978200</v>
      </c>
    </row>
    <row r="1040" spans="1:10">
      <c r="A1040" t="s">
        <v>4765</v>
      </c>
      <c r="B1040" s="915" t="s">
        <v>3747</v>
      </c>
      <c r="C1040" s="915" t="str">
        <f t="shared" si="16"/>
        <v>5월</v>
      </c>
      <c r="D1040" s="916" t="s">
        <v>4704</v>
      </c>
      <c r="E1040" s="916" t="s">
        <v>4705</v>
      </c>
      <c r="F1040" s="916" t="s">
        <v>4706</v>
      </c>
      <c r="G1040" s="915" t="s">
        <v>4707</v>
      </c>
      <c r="H1040" s="917">
        <v>222580</v>
      </c>
      <c r="I1040" s="918"/>
      <c r="J1040" s="918"/>
    </row>
    <row r="1041" spans="1:10">
      <c r="A1041" t="s">
        <v>4765</v>
      </c>
      <c r="B1041" s="915" t="s">
        <v>3747</v>
      </c>
      <c r="C1041" s="915" t="str">
        <f t="shared" si="16"/>
        <v>5월</v>
      </c>
      <c r="D1041" s="916" t="s">
        <v>4662</v>
      </c>
      <c r="E1041" s="916" t="s">
        <v>4663</v>
      </c>
      <c r="F1041" s="916" t="s">
        <v>4664</v>
      </c>
      <c r="G1041" s="915" t="s">
        <v>4665</v>
      </c>
      <c r="H1041" s="917">
        <v>70000</v>
      </c>
      <c r="I1041" s="918"/>
      <c r="J1041" s="918"/>
    </row>
    <row r="1042" spans="1:10">
      <c r="A1042" t="s">
        <v>4765</v>
      </c>
      <c r="B1042" s="915" t="s">
        <v>3747</v>
      </c>
      <c r="C1042" s="915" t="str">
        <f t="shared" si="16"/>
        <v>5월</v>
      </c>
      <c r="D1042" s="916" t="s">
        <v>4708</v>
      </c>
      <c r="E1042" s="916" t="s">
        <v>4671</v>
      </c>
      <c r="F1042" s="916" t="s">
        <v>4672</v>
      </c>
      <c r="G1042" s="915" t="s">
        <v>4673</v>
      </c>
      <c r="H1042" s="917">
        <v>650000</v>
      </c>
      <c r="I1042" s="918"/>
      <c r="J1042" s="918"/>
    </row>
    <row r="1043" spans="1:10">
      <c r="A1043" t="s">
        <v>4765</v>
      </c>
      <c r="B1043" s="915" t="s">
        <v>3747</v>
      </c>
      <c r="C1043" s="915" t="str">
        <f t="shared" si="16"/>
        <v>5월</v>
      </c>
      <c r="D1043" s="916" t="s">
        <v>4676</v>
      </c>
      <c r="E1043" s="916" t="s">
        <v>4677</v>
      </c>
      <c r="F1043" s="916" t="s">
        <v>4678</v>
      </c>
      <c r="G1043" s="915" t="s">
        <v>4679</v>
      </c>
      <c r="H1043" s="917">
        <v>235000</v>
      </c>
      <c r="I1043" s="918"/>
      <c r="J1043" s="917">
        <v>7155780</v>
      </c>
    </row>
    <row r="1044" spans="1:10">
      <c r="A1044" t="s">
        <v>4765</v>
      </c>
      <c r="B1044" s="915" t="s">
        <v>3324</v>
      </c>
      <c r="C1044" s="915" t="str">
        <f t="shared" si="16"/>
        <v>6월</v>
      </c>
      <c r="D1044" s="916" t="s">
        <v>4709</v>
      </c>
      <c r="E1044" s="916" t="s">
        <v>4710</v>
      </c>
      <c r="F1044" s="916" t="s">
        <v>4711</v>
      </c>
      <c r="G1044" s="915" t="s">
        <v>4712</v>
      </c>
      <c r="H1044" s="917">
        <v>3000000</v>
      </c>
      <c r="I1044" s="918"/>
      <c r="J1044" s="917">
        <v>10155780</v>
      </c>
    </row>
    <row r="1045" spans="1:10">
      <c r="A1045" t="s">
        <v>4765</v>
      </c>
      <c r="B1045" s="915" t="s">
        <v>4483</v>
      </c>
      <c r="C1045" s="915" t="str">
        <f t="shared" si="16"/>
        <v>6월</v>
      </c>
      <c r="D1045" s="916" t="s">
        <v>4713</v>
      </c>
      <c r="E1045" s="916" t="s">
        <v>4714</v>
      </c>
      <c r="F1045" s="916" t="s">
        <v>4715</v>
      </c>
      <c r="G1045" s="915" t="s">
        <v>4716</v>
      </c>
      <c r="H1045" s="917">
        <v>200000</v>
      </c>
      <c r="I1045" s="918"/>
      <c r="J1045" s="917">
        <v>10355780</v>
      </c>
    </row>
    <row r="1046" spans="1:10">
      <c r="A1046" t="s">
        <v>4765</v>
      </c>
      <c r="B1046" s="915" t="s">
        <v>3608</v>
      </c>
      <c r="C1046" s="915" t="str">
        <f t="shared" si="16"/>
        <v>6월</v>
      </c>
      <c r="D1046" s="916" t="s">
        <v>4662</v>
      </c>
      <c r="E1046" s="916" t="s">
        <v>4663</v>
      </c>
      <c r="F1046" s="916" t="s">
        <v>4664</v>
      </c>
      <c r="G1046" s="915" t="s">
        <v>4665</v>
      </c>
      <c r="H1046" s="917">
        <v>70000</v>
      </c>
      <c r="I1046" s="918"/>
      <c r="J1046" s="917">
        <v>10425780</v>
      </c>
    </row>
    <row r="1047" spans="1:10">
      <c r="A1047" t="s">
        <v>4765</v>
      </c>
      <c r="B1047" s="915" t="s">
        <v>4140</v>
      </c>
      <c r="C1047" s="915" t="str">
        <f t="shared" si="16"/>
        <v>6월</v>
      </c>
      <c r="D1047" s="916" t="s">
        <v>4699</v>
      </c>
      <c r="E1047" s="916" t="s">
        <v>4700</v>
      </c>
      <c r="F1047" s="916" t="s">
        <v>4701</v>
      </c>
      <c r="G1047" s="915" t="s">
        <v>4702</v>
      </c>
      <c r="H1047" s="917">
        <v>200000</v>
      </c>
      <c r="I1047" s="918"/>
      <c r="J1047" s="917">
        <v>10625780</v>
      </c>
    </row>
    <row r="1048" spans="1:10">
      <c r="A1048" t="s">
        <v>4765</v>
      </c>
      <c r="B1048" s="915" t="s">
        <v>3754</v>
      </c>
      <c r="C1048" s="915" t="str">
        <f t="shared" si="16"/>
        <v>6월</v>
      </c>
      <c r="D1048" s="916" t="s">
        <v>4666</v>
      </c>
      <c r="E1048" s="916" t="s">
        <v>4667</v>
      </c>
      <c r="F1048" s="916" t="s">
        <v>4668</v>
      </c>
      <c r="G1048" s="915" t="s">
        <v>4669</v>
      </c>
      <c r="H1048" s="917">
        <v>52000</v>
      </c>
      <c r="I1048" s="918"/>
      <c r="J1048" s="917">
        <v>10677780</v>
      </c>
    </row>
    <row r="1049" spans="1:10">
      <c r="A1049" t="s">
        <v>4765</v>
      </c>
      <c r="B1049" s="915" t="s">
        <v>3613</v>
      </c>
      <c r="C1049" s="915" t="str">
        <f t="shared" si="16"/>
        <v>6월</v>
      </c>
      <c r="D1049" s="916" t="s">
        <v>4717</v>
      </c>
      <c r="E1049" s="916" t="s">
        <v>4671</v>
      </c>
      <c r="F1049" s="916" t="s">
        <v>4672</v>
      </c>
      <c r="G1049" s="915" t="s">
        <v>4673</v>
      </c>
      <c r="H1049" s="917">
        <v>1050000</v>
      </c>
      <c r="I1049" s="918"/>
      <c r="J1049" s="918"/>
    </row>
    <row r="1050" spans="1:10">
      <c r="A1050" t="s">
        <v>4765</v>
      </c>
      <c r="B1050" s="915" t="s">
        <v>3613</v>
      </c>
      <c r="C1050" s="915" t="str">
        <f t="shared" si="16"/>
        <v>6월</v>
      </c>
      <c r="D1050" s="916" t="s">
        <v>4676</v>
      </c>
      <c r="E1050" s="916" t="s">
        <v>4677</v>
      </c>
      <c r="F1050" s="916" t="s">
        <v>4678</v>
      </c>
      <c r="G1050" s="915" t="s">
        <v>4679</v>
      </c>
      <c r="H1050" s="917">
        <v>235000</v>
      </c>
      <c r="I1050" s="918"/>
      <c r="J1050" s="917">
        <v>11962780</v>
      </c>
    </row>
    <row r="1051" spans="1:10" ht="22.5">
      <c r="A1051" t="s">
        <v>4765</v>
      </c>
      <c r="B1051" s="915" t="s">
        <v>3757</v>
      </c>
      <c r="C1051" s="915" t="str">
        <f t="shared" si="16"/>
        <v>7월</v>
      </c>
      <c r="D1051" s="916" t="s">
        <v>4674</v>
      </c>
      <c r="E1051" s="916"/>
      <c r="F1051" s="916" t="s">
        <v>4675</v>
      </c>
      <c r="G1051" s="915"/>
      <c r="H1051" s="917">
        <v>19500</v>
      </c>
      <c r="I1051" s="918"/>
      <c r="J1051" s="918"/>
    </row>
    <row r="1052" spans="1:10" ht="22.5">
      <c r="A1052" t="s">
        <v>4765</v>
      </c>
      <c r="B1052" s="915" t="s">
        <v>3757</v>
      </c>
      <c r="C1052" s="915" t="str">
        <f t="shared" si="16"/>
        <v>7월</v>
      </c>
      <c r="D1052" s="916" t="s">
        <v>4674</v>
      </c>
      <c r="E1052" s="916"/>
      <c r="F1052" s="916" t="s">
        <v>4675</v>
      </c>
      <c r="G1052" s="915"/>
      <c r="H1052" s="917">
        <v>19500</v>
      </c>
      <c r="I1052" s="918"/>
      <c r="J1052" s="917">
        <v>12001780</v>
      </c>
    </row>
    <row r="1053" spans="1:10">
      <c r="A1053" t="s">
        <v>4765</v>
      </c>
      <c r="B1053" s="915" t="s">
        <v>4342</v>
      </c>
      <c r="C1053" s="915" t="str">
        <f t="shared" si="16"/>
        <v>7월</v>
      </c>
      <c r="D1053" s="916" t="s">
        <v>4718</v>
      </c>
      <c r="E1053" s="916"/>
      <c r="F1053" s="916" t="s">
        <v>4652</v>
      </c>
      <c r="G1053" s="915"/>
      <c r="H1053" s="917">
        <v>195800</v>
      </c>
      <c r="I1053" s="918"/>
      <c r="J1053" s="917">
        <v>12197580</v>
      </c>
    </row>
    <row r="1054" spans="1:10">
      <c r="A1054" t="s">
        <v>4765</v>
      </c>
      <c r="B1054" s="915" t="s">
        <v>4719</v>
      </c>
      <c r="C1054" s="915" t="str">
        <f t="shared" si="16"/>
        <v>7월</v>
      </c>
      <c r="D1054" s="916" t="s">
        <v>4662</v>
      </c>
      <c r="E1054" s="916" t="s">
        <v>4663</v>
      </c>
      <c r="F1054" s="916" t="s">
        <v>4664</v>
      </c>
      <c r="G1054" s="915" t="s">
        <v>4665</v>
      </c>
      <c r="H1054" s="917">
        <v>70000</v>
      </c>
      <c r="I1054" s="918"/>
      <c r="J1054" s="917">
        <v>12267580</v>
      </c>
    </row>
    <row r="1055" spans="1:10">
      <c r="A1055" t="s">
        <v>4765</v>
      </c>
      <c r="B1055" s="915" t="s">
        <v>4266</v>
      </c>
      <c r="C1055" s="915" t="str">
        <f t="shared" si="16"/>
        <v>7월</v>
      </c>
      <c r="D1055" s="916" t="s">
        <v>4720</v>
      </c>
      <c r="E1055" s="916" t="s">
        <v>4693</v>
      </c>
      <c r="F1055" s="916" t="s">
        <v>4694</v>
      </c>
      <c r="G1055" s="915" t="s">
        <v>4695</v>
      </c>
      <c r="H1055" s="917">
        <v>350000</v>
      </c>
      <c r="I1055" s="918"/>
      <c r="J1055" s="917">
        <v>12617580</v>
      </c>
    </row>
    <row r="1056" spans="1:10" ht="22.5">
      <c r="A1056" t="s">
        <v>4765</v>
      </c>
      <c r="B1056" s="915" t="s">
        <v>3326</v>
      </c>
      <c r="C1056" s="915" t="str">
        <f t="shared" si="16"/>
        <v>7월</v>
      </c>
      <c r="D1056" s="916" t="s">
        <v>4721</v>
      </c>
      <c r="E1056" s="916" t="s">
        <v>4710</v>
      </c>
      <c r="F1056" s="916" t="s">
        <v>4711</v>
      </c>
      <c r="G1056" s="915" t="s">
        <v>4712</v>
      </c>
      <c r="H1056" s="917">
        <v>1500000</v>
      </c>
      <c r="I1056" s="918"/>
      <c r="J1056" s="917">
        <v>14117580</v>
      </c>
    </row>
    <row r="1057" spans="1:10">
      <c r="A1057" t="s">
        <v>4765</v>
      </c>
      <c r="B1057" s="915" t="s">
        <v>3969</v>
      </c>
      <c r="C1057" s="915" t="str">
        <f t="shared" si="16"/>
        <v>7월</v>
      </c>
      <c r="D1057" s="916" t="s">
        <v>4666</v>
      </c>
      <c r="E1057" s="916" t="s">
        <v>4667</v>
      </c>
      <c r="F1057" s="916" t="s">
        <v>4668</v>
      </c>
      <c r="G1057" s="915" t="s">
        <v>4669</v>
      </c>
      <c r="H1057" s="917">
        <v>52000</v>
      </c>
      <c r="I1057" s="918"/>
      <c r="J1057" s="917">
        <v>14169580</v>
      </c>
    </row>
    <row r="1058" spans="1:10">
      <c r="A1058" t="s">
        <v>4765</v>
      </c>
      <c r="B1058" s="915" t="s">
        <v>3776</v>
      </c>
      <c r="C1058" s="915" t="str">
        <f t="shared" si="16"/>
        <v>7월</v>
      </c>
      <c r="D1058" s="916" t="s">
        <v>4699</v>
      </c>
      <c r="E1058" s="916" t="s">
        <v>4700</v>
      </c>
      <c r="F1058" s="916" t="s">
        <v>4701</v>
      </c>
      <c r="G1058" s="915" t="s">
        <v>4702</v>
      </c>
      <c r="H1058" s="917">
        <v>100000</v>
      </c>
      <c r="I1058" s="918"/>
      <c r="J1058" s="918"/>
    </row>
    <row r="1059" spans="1:10">
      <c r="A1059" t="s">
        <v>4765</v>
      </c>
      <c r="B1059" s="915" t="s">
        <v>3776</v>
      </c>
      <c r="C1059" s="915" t="str">
        <f t="shared" si="16"/>
        <v>7월</v>
      </c>
      <c r="D1059" s="916" t="s">
        <v>4722</v>
      </c>
      <c r="E1059" s="916" t="s">
        <v>4671</v>
      </c>
      <c r="F1059" s="916" t="s">
        <v>4672</v>
      </c>
      <c r="G1059" s="915" t="s">
        <v>4673</v>
      </c>
      <c r="H1059" s="917">
        <v>1050000</v>
      </c>
      <c r="I1059" s="918"/>
      <c r="J1059" s="917">
        <v>15319580</v>
      </c>
    </row>
    <row r="1060" spans="1:10">
      <c r="A1060" t="s">
        <v>4765</v>
      </c>
      <c r="B1060" s="915" t="s">
        <v>4200</v>
      </c>
      <c r="C1060" s="915" t="str">
        <f t="shared" si="16"/>
        <v>8월</v>
      </c>
      <c r="D1060" s="916" t="s">
        <v>4676</v>
      </c>
      <c r="E1060" s="916" t="s">
        <v>4677</v>
      </c>
      <c r="F1060" s="916" t="s">
        <v>4678</v>
      </c>
      <c r="G1060" s="915" t="s">
        <v>4679</v>
      </c>
      <c r="H1060" s="917">
        <v>235000</v>
      </c>
      <c r="I1060" s="918"/>
      <c r="J1060" s="917">
        <v>15554580</v>
      </c>
    </row>
    <row r="1061" spans="1:10">
      <c r="A1061" t="s">
        <v>4765</v>
      </c>
      <c r="B1061" s="915" t="s">
        <v>4205</v>
      </c>
      <c r="C1061" s="915" t="str">
        <f t="shared" si="16"/>
        <v>8월</v>
      </c>
      <c r="D1061" s="916" t="s">
        <v>4662</v>
      </c>
      <c r="E1061" s="916" t="s">
        <v>4663</v>
      </c>
      <c r="F1061" s="916" t="s">
        <v>4664</v>
      </c>
      <c r="G1061" s="915" t="s">
        <v>4665</v>
      </c>
      <c r="H1061" s="917">
        <v>70000</v>
      </c>
      <c r="I1061" s="918"/>
      <c r="J1061" s="917">
        <v>15624580</v>
      </c>
    </row>
    <row r="1062" spans="1:10">
      <c r="A1062" t="s">
        <v>4765</v>
      </c>
      <c r="B1062" s="915" t="s">
        <v>3779</v>
      </c>
      <c r="C1062" s="915" t="str">
        <f t="shared" si="16"/>
        <v>8월</v>
      </c>
      <c r="D1062" s="916" t="s">
        <v>4723</v>
      </c>
      <c r="E1062" s="916" t="s">
        <v>4724</v>
      </c>
      <c r="F1062" s="916" t="s">
        <v>4725</v>
      </c>
      <c r="G1062" s="915" t="s">
        <v>4726</v>
      </c>
      <c r="H1062" s="917">
        <v>160000</v>
      </c>
      <c r="I1062" s="918"/>
      <c r="J1062" s="917">
        <v>15784580</v>
      </c>
    </row>
    <row r="1063" spans="1:10">
      <c r="A1063" t="s">
        <v>4765</v>
      </c>
      <c r="B1063" s="915" t="s">
        <v>4274</v>
      </c>
      <c r="C1063" s="915" t="str">
        <f t="shared" si="16"/>
        <v>8월</v>
      </c>
      <c r="D1063" s="916" t="s">
        <v>4666</v>
      </c>
      <c r="E1063" s="916" t="s">
        <v>4667</v>
      </c>
      <c r="F1063" s="916" t="s">
        <v>4668</v>
      </c>
      <c r="G1063" s="915" t="s">
        <v>4669</v>
      </c>
      <c r="H1063" s="917">
        <v>52000</v>
      </c>
      <c r="I1063" s="918"/>
      <c r="J1063" s="917">
        <v>15836580</v>
      </c>
    </row>
    <row r="1064" spans="1:10">
      <c r="A1064" t="s">
        <v>4765</v>
      </c>
      <c r="B1064" s="915" t="s">
        <v>4532</v>
      </c>
      <c r="C1064" s="915" t="str">
        <f t="shared" si="16"/>
        <v>8월</v>
      </c>
      <c r="D1064" s="916" t="s">
        <v>4727</v>
      </c>
      <c r="E1064" s="916" t="s">
        <v>4671</v>
      </c>
      <c r="F1064" s="916" t="s">
        <v>4672</v>
      </c>
      <c r="G1064" s="915" t="s">
        <v>4673</v>
      </c>
      <c r="H1064" s="917">
        <v>1050000</v>
      </c>
      <c r="I1064" s="918"/>
      <c r="J1064" s="918"/>
    </row>
    <row r="1065" spans="1:10">
      <c r="A1065" t="s">
        <v>4765</v>
      </c>
      <c r="B1065" s="915" t="s">
        <v>4532</v>
      </c>
      <c r="C1065" s="915" t="str">
        <f t="shared" si="16"/>
        <v>8월</v>
      </c>
      <c r="D1065" s="916" t="s">
        <v>4728</v>
      </c>
      <c r="E1065" s="916" t="s">
        <v>4724</v>
      </c>
      <c r="F1065" s="916" t="s">
        <v>4725</v>
      </c>
      <c r="G1065" s="915" t="s">
        <v>4726</v>
      </c>
      <c r="H1065" s="917">
        <v>70000</v>
      </c>
      <c r="I1065" s="918"/>
      <c r="J1065" s="918"/>
    </row>
    <row r="1066" spans="1:10">
      <c r="A1066" t="s">
        <v>4765</v>
      </c>
      <c r="B1066" s="915" t="s">
        <v>4532</v>
      </c>
      <c r="C1066" s="915" t="str">
        <f t="shared" si="16"/>
        <v>8월</v>
      </c>
      <c r="D1066" s="916" t="s">
        <v>4699</v>
      </c>
      <c r="E1066" s="916" t="s">
        <v>4700</v>
      </c>
      <c r="F1066" s="916" t="s">
        <v>4701</v>
      </c>
      <c r="G1066" s="915" t="s">
        <v>4702</v>
      </c>
      <c r="H1066" s="917">
        <v>100000</v>
      </c>
      <c r="I1066" s="918"/>
      <c r="J1066" s="918"/>
    </row>
    <row r="1067" spans="1:10">
      <c r="A1067" t="s">
        <v>4765</v>
      </c>
      <c r="B1067" s="915" t="s">
        <v>4532</v>
      </c>
      <c r="C1067" s="915" t="str">
        <f t="shared" si="16"/>
        <v>8월</v>
      </c>
      <c r="D1067" s="916" t="s">
        <v>4676</v>
      </c>
      <c r="E1067" s="916" t="s">
        <v>4677</v>
      </c>
      <c r="F1067" s="916" t="s">
        <v>4678</v>
      </c>
      <c r="G1067" s="915" t="s">
        <v>4679</v>
      </c>
      <c r="H1067" s="917">
        <v>235000</v>
      </c>
      <c r="I1067" s="918"/>
      <c r="J1067" s="917">
        <v>17291580</v>
      </c>
    </row>
    <row r="1068" spans="1:10" ht="22.5">
      <c r="A1068" t="s">
        <v>4765</v>
      </c>
      <c r="B1068" s="915" t="s">
        <v>3972</v>
      </c>
      <c r="C1068" s="915" t="str">
        <f t="shared" si="16"/>
        <v>9월</v>
      </c>
      <c r="D1068" s="916" t="s">
        <v>4674</v>
      </c>
      <c r="E1068" s="916"/>
      <c r="F1068" s="916" t="s">
        <v>4675</v>
      </c>
      <c r="G1068" s="915"/>
      <c r="H1068" s="917">
        <v>19500</v>
      </c>
      <c r="I1068" s="918"/>
      <c r="J1068" s="918"/>
    </row>
    <row r="1069" spans="1:10" ht="22.5">
      <c r="A1069" t="s">
        <v>4765</v>
      </c>
      <c r="B1069" s="915" t="s">
        <v>3972</v>
      </c>
      <c r="C1069" s="915" t="str">
        <f t="shared" si="16"/>
        <v>9월</v>
      </c>
      <c r="D1069" s="916" t="s">
        <v>4674</v>
      </c>
      <c r="E1069" s="916"/>
      <c r="F1069" s="916" t="s">
        <v>4675</v>
      </c>
      <c r="G1069" s="915"/>
      <c r="H1069" s="917">
        <v>19500</v>
      </c>
      <c r="I1069" s="918"/>
      <c r="J1069" s="917">
        <v>17330580</v>
      </c>
    </row>
    <row r="1070" spans="1:10">
      <c r="A1070" t="s">
        <v>4765</v>
      </c>
      <c r="B1070" s="915" t="s">
        <v>4124</v>
      </c>
      <c r="C1070" s="915" t="str">
        <f t="shared" si="16"/>
        <v>9월</v>
      </c>
      <c r="D1070" s="916" t="s">
        <v>4662</v>
      </c>
      <c r="E1070" s="916" t="s">
        <v>4663</v>
      </c>
      <c r="F1070" s="916" t="s">
        <v>4664</v>
      </c>
      <c r="G1070" s="915" t="s">
        <v>4665</v>
      </c>
      <c r="H1070" s="917">
        <v>70000</v>
      </c>
      <c r="I1070" s="918"/>
      <c r="J1070" s="918"/>
    </row>
    <row r="1071" spans="1:10">
      <c r="A1071" t="s">
        <v>4765</v>
      </c>
      <c r="B1071" s="915" t="s">
        <v>4124</v>
      </c>
      <c r="C1071" s="915" t="str">
        <f t="shared" si="16"/>
        <v>9월</v>
      </c>
      <c r="D1071" s="916" t="s">
        <v>4729</v>
      </c>
      <c r="E1071" s="916" t="s">
        <v>4730</v>
      </c>
      <c r="F1071" s="916" t="s">
        <v>4731</v>
      </c>
      <c r="G1071" s="915" t="s">
        <v>4732</v>
      </c>
      <c r="H1071" s="917">
        <v>44000</v>
      </c>
      <c r="I1071" s="918"/>
      <c r="J1071" s="918"/>
    </row>
    <row r="1072" spans="1:10">
      <c r="A1072" t="s">
        <v>4765</v>
      </c>
      <c r="B1072" s="915" t="s">
        <v>4124</v>
      </c>
      <c r="C1072" s="915" t="str">
        <f t="shared" si="16"/>
        <v>9월</v>
      </c>
      <c r="D1072" s="916" t="s">
        <v>4733</v>
      </c>
      <c r="E1072" s="916"/>
      <c r="F1072" s="916" t="s">
        <v>4734</v>
      </c>
      <c r="G1072" s="915"/>
      <c r="H1072" s="917">
        <v>150000</v>
      </c>
      <c r="I1072" s="918"/>
      <c r="J1072" s="917">
        <v>17594580</v>
      </c>
    </row>
    <row r="1073" spans="1:10">
      <c r="A1073" t="s">
        <v>4765</v>
      </c>
      <c r="B1073" s="915" t="s">
        <v>3616</v>
      </c>
      <c r="C1073" s="915" t="str">
        <f t="shared" si="16"/>
        <v>9월</v>
      </c>
      <c r="D1073" s="916" t="s">
        <v>4735</v>
      </c>
      <c r="E1073" s="916"/>
      <c r="F1073" s="916" t="s">
        <v>4736</v>
      </c>
      <c r="G1073" s="915"/>
      <c r="H1073" s="917">
        <v>30000</v>
      </c>
      <c r="I1073" s="918"/>
      <c r="J1073" s="918"/>
    </row>
    <row r="1074" spans="1:10">
      <c r="A1074" t="s">
        <v>4765</v>
      </c>
      <c r="B1074" s="915" t="s">
        <v>3616</v>
      </c>
      <c r="C1074" s="915" t="str">
        <f t="shared" si="16"/>
        <v>9월</v>
      </c>
      <c r="D1074" s="916" t="s">
        <v>4735</v>
      </c>
      <c r="E1074" s="916"/>
      <c r="F1074" s="916" t="s">
        <v>4736</v>
      </c>
      <c r="G1074" s="915"/>
      <c r="H1074" s="917">
        <v>10000</v>
      </c>
      <c r="I1074" s="918"/>
      <c r="J1074" s="917">
        <v>17634580</v>
      </c>
    </row>
    <row r="1075" spans="1:10">
      <c r="A1075" t="s">
        <v>4765</v>
      </c>
      <c r="B1075" s="915" t="s">
        <v>4349</v>
      </c>
      <c r="C1075" s="915" t="str">
        <f t="shared" si="16"/>
        <v>9월</v>
      </c>
      <c r="D1075" s="916" t="s">
        <v>4666</v>
      </c>
      <c r="E1075" s="916" t="s">
        <v>4667</v>
      </c>
      <c r="F1075" s="916" t="s">
        <v>4668</v>
      </c>
      <c r="G1075" s="915" t="s">
        <v>4669</v>
      </c>
      <c r="H1075" s="917">
        <v>52000</v>
      </c>
      <c r="I1075" s="918"/>
      <c r="J1075" s="917">
        <v>17686580</v>
      </c>
    </row>
    <row r="1076" spans="1:10">
      <c r="A1076" t="s">
        <v>4765</v>
      </c>
      <c r="B1076" s="915" t="s">
        <v>3806</v>
      </c>
      <c r="C1076" s="915" t="str">
        <f t="shared" si="16"/>
        <v>9월</v>
      </c>
      <c r="D1076" s="916" t="s">
        <v>4699</v>
      </c>
      <c r="E1076" s="916" t="s">
        <v>4700</v>
      </c>
      <c r="F1076" s="916" t="s">
        <v>4701</v>
      </c>
      <c r="G1076" s="915" t="s">
        <v>4702</v>
      </c>
      <c r="H1076" s="917">
        <v>100000</v>
      </c>
      <c r="I1076" s="918"/>
      <c r="J1076" s="917">
        <v>17786580</v>
      </c>
    </row>
    <row r="1077" spans="1:10">
      <c r="A1077" t="s">
        <v>4765</v>
      </c>
      <c r="B1077" s="915" t="s">
        <v>4207</v>
      </c>
      <c r="C1077" s="915" t="str">
        <f t="shared" si="16"/>
        <v>9월</v>
      </c>
      <c r="D1077" s="916" t="s">
        <v>4737</v>
      </c>
      <c r="E1077" s="916" t="s">
        <v>4671</v>
      </c>
      <c r="F1077" s="916" t="s">
        <v>4672</v>
      </c>
      <c r="G1077" s="915" t="s">
        <v>4673</v>
      </c>
      <c r="H1077" s="917">
        <v>1050000</v>
      </c>
      <c r="I1077" s="918"/>
      <c r="J1077" s="918"/>
    </row>
    <row r="1078" spans="1:10">
      <c r="A1078" t="s">
        <v>4765</v>
      </c>
      <c r="B1078" s="915" t="s">
        <v>4207</v>
      </c>
      <c r="C1078" s="915" t="str">
        <f t="shared" si="16"/>
        <v>9월</v>
      </c>
      <c r="D1078" s="916" t="s">
        <v>4676</v>
      </c>
      <c r="E1078" s="916" t="s">
        <v>4677</v>
      </c>
      <c r="F1078" s="916" t="s">
        <v>4678</v>
      </c>
      <c r="G1078" s="915" t="s">
        <v>4679</v>
      </c>
      <c r="H1078" s="917">
        <v>235000</v>
      </c>
      <c r="I1078" s="918"/>
      <c r="J1078" s="917">
        <v>19071580</v>
      </c>
    </row>
    <row r="1079" spans="1:10">
      <c r="A1079" t="s">
        <v>4765</v>
      </c>
      <c r="B1079" s="915" t="s">
        <v>3807</v>
      </c>
      <c r="C1079" s="915" t="str">
        <f t="shared" si="16"/>
        <v>10월</v>
      </c>
      <c r="D1079" s="916" t="s">
        <v>4662</v>
      </c>
      <c r="E1079" s="916" t="s">
        <v>4663</v>
      </c>
      <c r="F1079" s="916" t="s">
        <v>4664</v>
      </c>
      <c r="G1079" s="915" t="s">
        <v>4665</v>
      </c>
      <c r="H1079" s="917">
        <v>70000</v>
      </c>
      <c r="I1079" s="918"/>
      <c r="J1079" s="918"/>
    </row>
    <row r="1080" spans="1:10">
      <c r="A1080" t="s">
        <v>4765</v>
      </c>
      <c r="B1080" s="915" t="s">
        <v>3807</v>
      </c>
      <c r="C1080" s="915" t="str">
        <f t="shared" si="16"/>
        <v>10월</v>
      </c>
      <c r="D1080" s="916" t="s">
        <v>4738</v>
      </c>
      <c r="E1080" s="916"/>
      <c r="F1080" s="916" t="s">
        <v>4694</v>
      </c>
      <c r="G1080" s="915"/>
      <c r="H1080" s="917">
        <v>30000</v>
      </c>
      <c r="I1080" s="918"/>
      <c r="J1080" s="918"/>
    </row>
    <row r="1081" spans="1:10">
      <c r="A1081" t="s">
        <v>4765</v>
      </c>
      <c r="B1081" s="915" t="s">
        <v>3807</v>
      </c>
      <c r="C1081" s="915" t="str">
        <f t="shared" si="16"/>
        <v>10월</v>
      </c>
      <c r="D1081" s="916" t="s">
        <v>4738</v>
      </c>
      <c r="E1081" s="916"/>
      <c r="F1081" s="916" t="s">
        <v>4694</v>
      </c>
      <c r="G1081" s="915"/>
      <c r="H1081" s="917">
        <v>5000</v>
      </c>
      <c r="I1081" s="918"/>
      <c r="J1081" s="917">
        <v>19176580</v>
      </c>
    </row>
    <row r="1082" spans="1:10" ht="22.5">
      <c r="A1082" t="s">
        <v>4765</v>
      </c>
      <c r="B1082" s="915" t="s">
        <v>3819</v>
      </c>
      <c r="C1082" s="915" t="str">
        <f t="shared" si="16"/>
        <v>10월</v>
      </c>
      <c r="D1082" s="916" t="s">
        <v>4674</v>
      </c>
      <c r="E1082" s="916"/>
      <c r="F1082" s="916" t="s">
        <v>4675</v>
      </c>
      <c r="G1082" s="915"/>
      <c r="H1082" s="917">
        <v>19500</v>
      </c>
      <c r="I1082" s="918"/>
      <c r="J1082" s="918"/>
    </row>
    <row r="1083" spans="1:10" ht="22.5">
      <c r="A1083" t="s">
        <v>4765</v>
      </c>
      <c r="B1083" s="915" t="s">
        <v>3819</v>
      </c>
      <c r="C1083" s="915" t="str">
        <f t="shared" si="16"/>
        <v>10월</v>
      </c>
      <c r="D1083" s="916" t="s">
        <v>4674</v>
      </c>
      <c r="E1083" s="916"/>
      <c r="F1083" s="916" t="s">
        <v>4675</v>
      </c>
      <c r="G1083" s="915"/>
      <c r="H1083" s="917">
        <v>19500</v>
      </c>
      <c r="I1083" s="918"/>
      <c r="J1083" s="917">
        <v>19215580</v>
      </c>
    </row>
    <row r="1084" spans="1:10">
      <c r="A1084" t="s">
        <v>4765</v>
      </c>
      <c r="B1084" s="915" t="s">
        <v>3898</v>
      </c>
      <c r="C1084" s="915" t="str">
        <f t="shared" si="16"/>
        <v>10월</v>
      </c>
      <c r="D1084" s="916" t="s">
        <v>4739</v>
      </c>
      <c r="E1084" s="916" t="s">
        <v>4710</v>
      </c>
      <c r="F1084" s="916" t="s">
        <v>4711</v>
      </c>
      <c r="G1084" s="915" t="s">
        <v>4712</v>
      </c>
      <c r="H1084" s="917">
        <v>350000</v>
      </c>
      <c r="I1084" s="918"/>
      <c r="J1084" s="918"/>
    </row>
    <row r="1085" spans="1:10">
      <c r="A1085" t="s">
        <v>4765</v>
      </c>
      <c r="B1085" s="915" t="s">
        <v>3898</v>
      </c>
      <c r="C1085" s="915" t="str">
        <f t="shared" si="16"/>
        <v>10월</v>
      </c>
      <c r="D1085" s="916" t="s">
        <v>4739</v>
      </c>
      <c r="E1085" s="916"/>
      <c r="F1085" s="916" t="s">
        <v>4740</v>
      </c>
      <c r="G1085" s="915"/>
      <c r="H1085" s="917">
        <v>4000</v>
      </c>
      <c r="I1085" s="918"/>
      <c r="J1085" s="917">
        <v>19569580</v>
      </c>
    </row>
    <row r="1086" spans="1:10">
      <c r="A1086" t="s">
        <v>4765</v>
      </c>
      <c r="B1086" s="915" t="s">
        <v>4741</v>
      </c>
      <c r="C1086" s="915" t="str">
        <f t="shared" si="16"/>
        <v>10월</v>
      </c>
      <c r="D1086" s="916" t="s">
        <v>4666</v>
      </c>
      <c r="E1086" s="916" t="s">
        <v>4667</v>
      </c>
      <c r="F1086" s="916" t="s">
        <v>4668</v>
      </c>
      <c r="G1086" s="915" t="s">
        <v>4669</v>
      </c>
      <c r="H1086" s="917">
        <v>52000</v>
      </c>
      <c r="I1086" s="918"/>
      <c r="J1086" s="917">
        <v>19621580</v>
      </c>
    </row>
    <row r="1087" spans="1:10">
      <c r="A1087" t="s">
        <v>4765</v>
      </c>
      <c r="B1087" s="915" t="s">
        <v>3824</v>
      </c>
      <c r="C1087" s="915" t="str">
        <f t="shared" si="16"/>
        <v>10월</v>
      </c>
      <c r="D1087" s="916" t="s">
        <v>4742</v>
      </c>
      <c r="E1087" s="916" t="s">
        <v>4671</v>
      </c>
      <c r="F1087" s="916" t="s">
        <v>4672</v>
      </c>
      <c r="G1087" s="915" t="s">
        <v>4673</v>
      </c>
      <c r="H1087" s="917">
        <v>1050000</v>
      </c>
      <c r="I1087" s="918"/>
      <c r="J1087" s="918"/>
    </row>
    <row r="1088" spans="1:10">
      <c r="A1088" t="s">
        <v>4765</v>
      </c>
      <c r="B1088" s="915" t="s">
        <v>3824</v>
      </c>
      <c r="C1088" s="915" t="str">
        <f t="shared" si="16"/>
        <v>10월</v>
      </c>
      <c r="D1088" s="916" t="s">
        <v>4676</v>
      </c>
      <c r="E1088" s="916" t="s">
        <v>4677</v>
      </c>
      <c r="F1088" s="916" t="s">
        <v>4678</v>
      </c>
      <c r="G1088" s="915" t="s">
        <v>4679</v>
      </c>
      <c r="H1088" s="917">
        <v>235000</v>
      </c>
      <c r="I1088" s="918"/>
      <c r="J1088" s="917">
        <v>20906580</v>
      </c>
    </row>
    <row r="1089" spans="1:10">
      <c r="A1089" t="s">
        <v>4765</v>
      </c>
      <c r="B1089" s="915" t="s">
        <v>3829</v>
      </c>
      <c r="C1089" s="915" t="str">
        <f t="shared" si="16"/>
        <v>11월</v>
      </c>
      <c r="D1089" s="916" t="s">
        <v>4699</v>
      </c>
      <c r="E1089" s="916" t="s">
        <v>4700</v>
      </c>
      <c r="F1089" s="916" t="s">
        <v>4701</v>
      </c>
      <c r="G1089" s="915" t="s">
        <v>4702</v>
      </c>
      <c r="H1089" s="917">
        <v>100000</v>
      </c>
      <c r="I1089" s="918"/>
      <c r="J1089" s="917">
        <v>21006580</v>
      </c>
    </row>
    <row r="1090" spans="1:10">
      <c r="A1090" t="s">
        <v>4765</v>
      </c>
      <c r="B1090" s="915" t="s">
        <v>3835</v>
      </c>
      <c r="C1090" s="915" t="str">
        <f t="shared" si="16"/>
        <v>11월</v>
      </c>
      <c r="D1090" s="916" t="s">
        <v>4743</v>
      </c>
      <c r="E1090" s="916"/>
      <c r="F1090" s="916" t="s">
        <v>4744</v>
      </c>
      <c r="G1090" s="915"/>
      <c r="H1090" s="917">
        <v>250000</v>
      </c>
      <c r="I1090" s="918"/>
      <c r="J1090" s="917">
        <v>21256580</v>
      </c>
    </row>
    <row r="1091" spans="1:10">
      <c r="A1091" t="s">
        <v>4765</v>
      </c>
      <c r="B1091" s="915" t="s">
        <v>4567</v>
      </c>
      <c r="C1091" s="915" t="str">
        <f t="shared" ref="C1091:C1120" si="17">MONTH(B1091)&amp;"월"</f>
        <v>11월</v>
      </c>
      <c r="D1091" s="916" t="s">
        <v>4745</v>
      </c>
      <c r="E1091" s="916"/>
      <c r="F1091" s="916" t="s">
        <v>4746</v>
      </c>
      <c r="G1091" s="915"/>
      <c r="H1091" s="917">
        <v>240000</v>
      </c>
      <c r="I1091" s="918"/>
      <c r="J1091" s="917">
        <v>21496580</v>
      </c>
    </row>
    <row r="1092" spans="1:10">
      <c r="A1092" t="s">
        <v>4765</v>
      </c>
      <c r="B1092" s="915" t="s">
        <v>4287</v>
      </c>
      <c r="C1092" s="915" t="str">
        <f t="shared" si="17"/>
        <v>11월</v>
      </c>
      <c r="D1092" s="916" t="s">
        <v>4666</v>
      </c>
      <c r="E1092" s="916" t="s">
        <v>4667</v>
      </c>
      <c r="F1092" s="916" t="s">
        <v>4668</v>
      </c>
      <c r="G1092" s="915" t="s">
        <v>4669</v>
      </c>
      <c r="H1092" s="917">
        <v>52000</v>
      </c>
      <c r="I1092" s="918"/>
      <c r="J1092" s="917">
        <v>21548580</v>
      </c>
    </row>
    <row r="1093" spans="1:10">
      <c r="A1093" t="s">
        <v>4765</v>
      </c>
      <c r="B1093" s="915" t="s">
        <v>3996</v>
      </c>
      <c r="C1093" s="915" t="str">
        <f t="shared" si="17"/>
        <v>11월</v>
      </c>
      <c r="D1093" s="916" t="s">
        <v>4747</v>
      </c>
      <c r="E1093" s="916" t="s">
        <v>4659</v>
      </c>
      <c r="F1093" s="916" t="s">
        <v>4660</v>
      </c>
      <c r="G1093" s="915" t="s">
        <v>4661</v>
      </c>
      <c r="H1093" s="917">
        <v>300000</v>
      </c>
      <c r="I1093" s="918"/>
      <c r="J1093" s="917">
        <v>21848580</v>
      </c>
    </row>
    <row r="1094" spans="1:10" ht="22.5">
      <c r="A1094" t="s">
        <v>4765</v>
      </c>
      <c r="B1094" s="915" t="s">
        <v>3841</v>
      </c>
      <c r="C1094" s="915" t="str">
        <f t="shared" si="17"/>
        <v>11월</v>
      </c>
      <c r="D1094" s="916" t="s">
        <v>4674</v>
      </c>
      <c r="E1094" s="916"/>
      <c r="F1094" s="916" t="s">
        <v>4675</v>
      </c>
      <c r="G1094" s="915"/>
      <c r="H1094" s="917">
        <v>20600</v>
      </c>
      <c r="I1094" s="918"/>
      <c r="J1094" s="918"/>
    </row>
    <row r="1095" spans="1:10" ht="22.5">
      <c r="A1095" t="s">
        <v>4765</v>
      </c>
      <c r="B1095" s="915" t="s">
        <v>3841</v>
      </c>
      <c r="C1095" s="915" t="str">
        <f t="shared" si="17"/>
        <v>11월</v>
      </c>
      <c r="D1095" s="916" t="s">
        <v>4674</v>
      </c>
      <c r="E1095" s="916"/>
      <c r="F1095" s="916" t="s">
        <v>4675</v>
      </c>
      <c r="G1095" s="915"/>
      <c r="H1095" s="917">
        <v>20200</v>
      </c>
      <c r="I1095" s="918"/>
      <c r="J1095" s="918"/>
    </row>
    <row r="1096" spans="1:10">
      <c r="A1096" t="s">
        <v>4765</v>
      </c>
      <c r="B1096" s="915" t="s">
        <v>3841</v>
      </c>
      <c r="C1096" s="915" t="str">
        <f t="shared" si="17"/>
        <v>11월</v>
      </c>
      <c r="D1096" s="916" t="s">
        <v>4662</v>
      </c>
      <c r="E1096" s="916" t="s">
        <v>4663</v>
      </c>
      <c r="F1096" s="916" t="s">
        <v>4664</v>
      </c>
      <c r="G1096" s="915" t="s">
        <v>4665</v>
      </c>
      <c r="H1096" s="917">
        <v>70000</v>
      </c>
      <c r="I1096" s="918"/>
      <c r="J1096" s="918"/>
    </row>
    <row r="1097" spans="1:10">
      <c r="A1097" t="s">
        <v>4765</v>
      </c>
      <c r="B1097" s="915" t="s">
        <v>3841</v>
      </c>
      <c r="C1097" s="915" t="str">
        <f t="shared" si="17"/>
        <v>11월</v>
      </c>
      <c r="D1097" s="916" t="s">
        <v>4748</v>
      </c>
      <c r="E1097" s="916" t="s">
        <v>4671</v>
      </c>
      <c r="F1097" s="916" t="s">
        <v>4672</v>
      </c>
      <c r="G1097" s="915" t="s">
        <v>4673</v>
      </c>
      <c r="H1097" s="917">
        <v>1050000</v>
      </c>
      <c r="I1097" s="918"/>
      <c r="J1097" s="918"/>
    </row>
    <row r="1098" spans="1:10">
      <c r="A1098" t="s">
        <v>4765</v>
      </c>
      <c r="B1098" s="915" t="s">
        <v>3841</v>
      </c>
      <c r="C1098" s="915" t="str">
        <f t="shared" si="17"/>
        <v>11월</v>
      </c>
      <c r="D1098" s="916" t="s">
        <v>4676</v>
      </c>
      <c r="E1098" s="916" t="s">
        <v>4677</v>
      </c>
      <c r="F1098" s="916" t="s">
        <v>4678</v>
      </c>
      <c r="G1098" s="915" t="s">
        <v>4679</v>
      </c>
      <c r="H1098" s="917">
        <v>235000</v>
      </c>
      <c r="I1098" s="918"/>
      <c r="J1098" s="917">
        <v>23244380</v>
      </c>
    </row>
    <row r="1099" spans="1:10">
      <c r="A1099" t="s">
        <v>4765</v>
      </c>
      <c r="B1099" s="915" t="s">
        <v>4355</v>
      </c>
      <c r="C1099" s="915" t="str">
        <f t="shared" si="17"/>
        <v>12월</v>
      </c>
      <c r="D1099" s="916" t="s">
        <v>4749</v>
      </c>
      <c r="E1099" s="916" t="s">
        <v>4689</v>
      </c>
      <c r="F1099" s="916" t="s">
        <v>4690</v>
      </c>
      <c r="G1099" s="915" t="s">
        <v>4691</v>
      </c>
      <c r="H1099" s="917">
        <v>100000</v>
      </c>
      <c r="I1099" s="918"/>
      <c r="J1099" s="917">
        <v>23344380</v>
      </c>
    </row>
    <row r="1100" spans="1:10">
      <c r="A1100" t="s">
        <v>4765</v>
      </c>
      <c r="B1100" s="915" t="s">
        <v>4000</v>
      </c>
      <c r="C1100" s="915" t="str">
        <f t="shared" si="17"/>
        <v>12월</v>
      </c>
      <c r="D1100" s="916" t="s">
        <v>4750</v>
      </c>
      <c r="E1100" s="916" t="s">
        <v>4751</v>
      </c>
      <c r="F1100" s="916" t="s">
        <v>4752</v>
      </c>
      <c r="G1100" s="915" t="s">
        <v>4753</v>
      </c>
      <c r="H1100" s="917">
        <v>385000</v>
      </c>
      <c r="I1100" s="918"/>
      <c r="J1100" s="918"/>
    </row>
    <row r="1101" spans="1:10">
      <c r="A1101" t="s">
        <v>4765</v>
      </c>
      <c r="B1101" s="915" t="s">
        <v>4000</v>
      </c>
      <c r="C1101" s="915" t="str">
        <f t="shared" si="17"/>
        <v>12월</v>
      </c>
      <c r="D1101" s="916" t="s">
        <v>4750</v>
      </c>
      <c r="E1101" s="916"/>
      <c r="F1101" s="916" t="s">
        <v>4754</v>
      </c>
      <c r="G1101" s="915"/>
      <c r="H1101" s="917">
        <v>6000</v>
      </c>
      <c r="I1101" s="918"/>
      <c r="J1101" s="917">
        <v>23735380</v>
      </c>
    </row>
    <row r="1102" spans="1:10">
      <c r="A1102" t="s">
        <v>4765</v>
      </c>
      <c r="B1102" s="915" t="s">
        <v>3856</v>
      </c>
      <c r="C1102" s="915" t="str">
        <f t="shared" si="17"/>
        <v>12월</v>
      </c>
      <c r="D1102" s="916" t="s">
        <v>4733</v>
      </c>
      <c r="E1102" s="916"/>
      <c r="F1102" s="916" t="s">
        <v>4734</v>
      </c>
      <c r="G1102" s="915"/>
      <c r="H1102" s="917">
        <v>150000</v>
      </c>
      <c r="I1102" s="918"/>
      <c r="J1102" s="917">
        <v>23885380</v>
      </c>
    </row>
    <row r="1103" spans="1:10">
      <c r="A1103" t="s">
        <v>4765</v>
      </c>
      <c r="B1103" s="915" t="s">
        <v>3328</v>
      </c>
      <c r="C1103" s="915" t="str">
        <f t="shared" si="17"/>
        <v>12월</v>
      </c>
      <c r="D1103" s="916" t="s">
        <v>4755</v>
      </c>
      <c r="E1103" s="916" t="s">
        <v>4751</v>
      </c>
      <c r="F1103" s="916" t="s">
        <v>4752</v>
      </c>
      <c r="G1103" s="915" t="s">
        <v>4753</v>
      </c>
      <c r="H1103" s="917">
        <v>2078000</v>
      </c>
      <c r="I1103" s="918"/>
      <c r="J1103" s="917">
        <v>25963380</v>
      </c>
    </row>
    <row r="1104" spans="1:10">
      <c r="A1104" t="s">
        <v>4765</v>
      </c>
      <c r="B1104" s="915" t="s">
        <v>3864</v>
      </c>
      <c r="C1104" s="915" t="str">
        <f t="shared" si="17"/>
        <v>12월</v>
      </c>
      <c r="D1104" s="916" t="s">
        <v>4699</v>
      </c>
      <c r="E1104" s="916" t="s">
        <v>4700</v>
      </c>
      <c r="F1104" s="916" t="s">
        <v>4701</v>
      </c>
      <c r="G1104" s="915" t="s">
        <v>4702</v>
      </c>
      <c r="H1104" s="917">
        <v>100000</v>
      </c>
      <c r="I1104" s="918"/>
      <c r="J1104" s="917">
        <v>26063380</v>
      </c>
    </row>
    <row r="1105" spans="1:10">
      <c r="A1105" t="s">
        <v>4765</v>
      </c>
      <c r="B1105" s="915" t="s">
        <v>3330</v>
      </c>
      <c r="C1105" s="915" t="str">
        <f t="shared" si="17"/>
        <v>12월</v>
      </c>
      <c r="D1105" s="916" t="s">
        <v>4756</v>
      </c>
      <c r="E1105" s="916"/>
      <c r="F1105" s="916" t="s">
        <v>4112</v>
      </c>
      <c r="G1105" s="915"/>
      <c r="H1105" s="917">
        <v>3000</v>
      </c>
      <c r="I1105" s="918"/>
      <c r="J1105" s="918"/>
    </row>
    <row r="1106" spans="1:10">
      <c r="A1106" t="s">
        <v>4765</v>
      </c>
      <c r="B1106" s="915" t="s">
        <v>3330</v>
      </c>
      <c r="C1106" s="915" t="str">
        <f t="shared" si="17"/>
        <v>12월</v>
      </c>
      <c r="D1106" s="916" t="s">
        <v>4756</v>
      </c>
      <c r="E1106" s="916"/>
      <c r="F1106" s="916" t="s">
        <v>4112</v>
      </c>
      <c r="G1106" s="915"/>
      <c r="H1106" s="917">
        <v>2000</v>
      </c>
      <c r="I1106" s="918"/>
      <c r="J1106" s="918"/>
    </row>
    <row r="1107" spans="1:10">
      <c r="A1107" t="s">
        <v>4765</v>
      </c>
      <c r="B1107" s="915" t="s">
        <v>3330</v>
      </c>
      <c r="C1107" s="915" t="str">
        <f t="shared" si="17"/>
        <v>12월</v>
      </c>
      <c r="D1107" s="916" t="s">
        <v>4757</v>
      </c>
      <c r="E1107" s="916" t="s">
        <v>4659</v>
      </c>
      <c r="F1107" s="916" t="s">
        <v>4660</v>
      </c>
      <c r="G1107" s="915" t="s">
        <v>4661</v>
      </c>
      <c r="H1107" s="917">
        <v>1730000</v>
      </c>
      <c r="I1107" s="918"/>
      <c r="J1107" s="918"/>
    </row>
    <row r="1108" spans="1:10">
      <c r="A1108" t="s">
        <v>4765</v>
      </c>
      <c r="B1108" s="915" t="s">
        <v>3330</v>
      </c>
      <c r="C1108" s="915" t="str">
        <f t="shared" si="17"/>
        <v>12월</v>
      </c>
      <c r="D1108" s="916" t="s">
        <v>4662</v>
      </c>
      <c r="E1108" s="916" t="s">
        <v>4663</v>
      </c>
      <c r="F1108" s="916" t="s">
        <v>4664</v>
      </c>
      <c r="G1108" s="915" t="s">
        <v>4665</v>
      </c>
      <c r="H1108" s="917">
        <v>70000</v>
      </c>
      <c r="I1108" s="918"/>
      <c r="J1108" s="917">
        <v>27868380</v>
      </c>
    </row>
    <row r="1109" spans="1:10">
      <c r="A1109" t="s">
        <v>4765</v>
      </c>
      <c r="B1109" s="915" t="s">
        <v>3865</v>
      </c>
      <c r="C1109" s="915" t="str">
        <f t="shared" si="17"/>
        <v>12월</v>
      </c>
      <c r="D1109" s="916" t="s">
        <v>4666</v>
      </c>
      <c r="E1109" s="916" t="s">
        <v>4667</v>
      </c>
      <c r="F1109" s="916" t="s">
        <v>4668</v>
      </c>
      <c r="G1109" s="915" t="s">
        <v>4669</v>
      </c>
      <c r="H1109" s="917">
        <v>52000</v>
      </c>
      <c r="I1109" s="918"/>
      <c r="J1109" s="917">
        <v>27920380</v>
      </c>
    </row>
    <row r="1110" spans="1:10">
      <c r="A1110" t="s">
        <v>4765</v>
      </c>
      <c r="B1110" s="915" t="s">
        <v>3332</v>
      </c>
      <c r="C1110" s="915" t="str">
        <f t="shared" si="17"/>
        <v>12월</v>
      </c>
      <c r="D1110" s="916" t="s">
        <v>4758</v>
      </c>
      <c r="E1110" s="916" t="s">
        <v>4671</v>
      </c>
      <c r="F1110" s="916" t="s">
        <v>4672</v>
      </c>
      <c r="G1110" s="915" t="s">
        <v>4673</v>
      </c>
      <c r="H1110" s="917">
        <v>1050000</v>
      </c>
      <c r="I1110" s="918"/>
      <c r="J1110" s="918"/>
    </row>
    <row r="1111" spans="1:10">
      <c r="A1111" t="s">
        <v>4765</v>
      </c>
      <c r="B1111" s="915" t="s">
        <v>3332</v>
      </c>
      <c r="C1111" s="915" t="str">
        <f t="shared" si="17"/>
        <v>12월</v>
      </c>
      <c r="D1111" s="916" t="s">
        <v>4759</v>
      </c>
      <c r="E1111" s="916" t="s">
        <v>4710</v>
      </c>
      <c r="F1111" s="916" t="s">
        <v>4711</v>
      </c>
      <c r="G1111" s="915" t="s">
        <v>4712</v>
      </c>
      <c r="H1111" s="917">
        <v>1150000</v>
      </c>
      <c r="I1111" s="918"/>
      <c r="J1111" s="917">
        <v>30120380</v>
      </c>
    </row>
    <row r="1112" spans="1:10">
      <c r="A1112" t="s">
        <v>4765</v>
      </c>
      <c r="B1112" s="915" t="s">
        <v>3629</v>
      </c>
      <c r="C1112" s="915" t="str">
        <f t="shared" si="17"/>
        <v>12월</v>
      </c>
      <c r="D1112" s="916" t="s">
        <v>4760</v>
      </c>
      <c r="E1112" s="916" t="s">
        <v>4710</v>
      </c>
      <c r="F1112" s="916" t="s">
        <v>4711</v>
      </c>
      <c r="G1112" s="915" t="s">
        <v>4712</v>
      </c>
      <c r="H1112" s="917">
        <v>-3000000</v>
      </c>
      <c r="I1112" s="918"/>
      <c r="J1112" s="918"/>
    </row>
    <row r="1113" spans="1:10">
      <c r="A1113" t="s">
        <v>4765</v>
      </c>
      <c r="B1113" s="915" t="s">
        <v>3629</v>
      </c>
      <c r="C1113" s="915" t="str">
        <f t="shared" si="17"/>
        <v>12월</v>
      </c>
      <c r="D1113" s="916" t="s">
        <v>4761</v>
      </c>
      <c r="E1113" s="916" t="s">
        <v>4710</v>
      </c>
      <c r="F1113" s="916" t="s">
        <v>4711</v>
      </c>
      <c r="G1113" s="915" t="s">
        <v>4712</v>
      </c>
      <c r="H1113" s="917">
        <v>-1500000</v>
      </c>
      <c r="I1113" s="918"/>
      <c r="J1113" s="918"/>
    </row>
    <row r="1114" spans="1:10">
      <c r="A1114" t="s">
        <v>4765</v>
      </c>
      <c r="B1114" s="915" t="s">
        <v>3629</v>
      </c>
      <c r="C1114" s="915" t="str">
        <f t="shared" si="17"/>
        <v>12월</v>
      </c>
      <c r="D1114" s="916" t="s">
        <v>4762</v>
      </c>
      <c r="E1114" s="916" t="s">
        <v>4751</v>
      </c>
      <c r="F1114" s="916" t="s">
        <v>4752</v>
      </c>
      <c r="G1114" s="915" t="s">
        <v>4753</v>
      </c>
      <c r="H1114" s="917">
        <v>-2078000</v>
      </c>
      <c r="I1114" s="918"/>
      <c r="J1114" s="918"/>
    </row>
    <row r="1115" spans="1:10">
      <c r="A1115" t="s">
        <v>4765</v>
      </c>
      <c r="B1115" s="915" t="s">
        <v>3629</v>
      </c>
      <c r="C1115" s="915" t="str">
        <f t="shared" si="17"/>
        <v>12월</v>
      </c>
      <c r="D1115" s="916" t="s">
        <v>4763</v>
      </c>
      <c r="E1115" s="916" t="s">
        <v>4659</v>
      </c>
      <c r="F1115" s="916" t="s">
        <v>4660</v>
      </c>
      <c r="G1115" s="915" t="s">
        <v>4661</v>
      </c>
      <c r="H1115" s="917">
        <v>-1730000</v>
      </c>
      <c r="I1115" s="918"/>
      <c r="J1115" s="918"/>
    </row>
    <row r="1116" spans="1:10">
      <c r="A1116" t="s">
        <v>4765</v>
      </c>
      <c r="B1116" s="915" t="s">
        <v>3629</v>
      </c>
      <c r="C1116" s="915" t="str">
        <f t="shared" si="17"/>
        <v>12월</v>
      </c>
      <c r="D1116" s="916" t="s">
        <v>4764</v>
      </c>
      <c r="E1116" s="916" t="s">
        <v>4710</v>
      </c>
      <c r="F1116" s="916" t="s">
        <v>4711</v>
      </c>
      <c r="G1116" s="915" t="s">
        <v>4712</v>
      </c>
      <c r="H1116" s="917">
        <v>-1150000</v>
      </c>
      <c r="I1116" s="918"/>
      <c r="J1116" s="918"/>
    </row>
    <row r="1117" spans="1:10">
      <c r="A1117" t="s">
        <v>4765</v>
      </c>
      <c r="B1117" s="915" t="s">
        <v>3629</v>
      </c>
      <c r="C1117" s="915" t="str">
        <f t="shared" si="17"/>
        <v>12월</v>
      </c>
      <c r="D1117" s="916" t="s">
        <v>4676</v>
      </c>
      <c r="E1117" s="916" t="s">
        <v>4677</v>
      </c>
      <c r="F1117" s="916" t="s">
        <v>4678</v>
      </c>
      <c r="G1117" s="915" t="s">
        <v>4679</v>
      </c>
      <c r="H1117" s="917">
        <v>235000</v>
      </c>
      <c r="I1117" s="918"/>
      <c r="J1117" s="918"/>
    </row>
    <row r="1118" spans="1:10">
      <c r="A1118" t="s">
        <v>4767</v>
      </c>
      <c r="B1118" s="915" t="s">
        <v>3932</v>
      </c>
      <c r="C1118" s="915" t="str">
        <f t="shared" si="17"/>
        <v>1월</v>
      </c>
      <c r="D1118" s="916" t="s">
        <v>4766</v>
      </c>
      <c r="E1118" s="916" t="s">
        <v>4179</v>
      </c>
      <c r="F1118" s="916" t="s">
        <v>4112</v>
      </c>
      <c r="G1118" s="915"/>
      <c r="H1118" s="917">
        <v>19630</v>
      </c>
      <c r="I1118" s="918"/>
      <c r="J1118" s="917">
        <v>19630</v>
      </c>
    </row>
    <row r="1119" spans="1:10">
      <c r="A1119" t="s">
        <v>4770</v>
      </c>
      <c r="B1119" s="915" t="s">
        <v>3629</v>
      </c>
      <c r="C1119" s="915" t="str">
        <f t="shared" si="17"/>
        <v>12월</v>
      </c>
      <c r="D1119" s="916" t="s">
        <v>4768</v>
      </c>
      <c r="E1119" s="916"/>
      <c r="F1119" s="916"/>
      <c r="G1119" s="915"/>
      <c r="H1119" s="917">
        <v>41985950</v>
      </c>
      <c r="I1119" s="918"/>
      <c r="J1119" s="918"/>
    </row>
    <row r="1120" spans="1:10">
      <c r="A1120" t="s">
        <v>4770</v>
      </c>
      <c r="B1120" s="915" t="s">
        <v>3629</v>
      </c>
      <c r="C1120" s="915" t="str">
        <f t="shared" si="17"/>
        <v>12월</v>
      </c>
      <c r="D1120" s="916" t="s">
        <v>4769</v>
      </c>
      <c r="E1120" s="916"/>
      <c r="F1120" s="916"/>
      <c r="G1120" s="915"/>
      <c r="H1120" s="917">
        <v>14511400</v>
      </c>
      <c r="I1120" s="918"/>
      <c r="J1120" s="918"/>
    </row>
  </sheetData>
  <phoneticPr fontId="3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J1120"/>
  <sheetViews>
    <sheetView topLeftCell="A76" workbookViewId="0">
      <selection activeCell="F11" sqref="F11"/>
    </sheetView>
  </sheetViews>
  <sheetFormatPr defaultRowHeight="16.5"/>
  <cols>
    <col min="1" max="1" width="15.125" bestFit="1" customWidth="1"/>
    <col min="4" max="4" width="43.875" customWidth="1"/>
    <col min="5" max="5" width="6" customWidth="1"/>
    <col min="6" max="6" width="28.875" bestFit="1" customWidth="1"/>
    <col min="7" max="7" width="14.125" customWidth="1"/>
    <col min="8" max="10" width="9.5" customWidth="1"/>
  </cols>
  <sheetData>
    <row r="1" spans="1:10">
      <c r="A1" s="965" t="s">
        <v>3631</v>
      </c>
      <c r="B1" s="965" t="s">
        <v>3589</v>
      </c>
      <c r="C1" s="965" t="s">
        <v>2887</v>
      </c>
      <c r="D1" s="965" t="s">
        <v>3590</v>
      </c>
      <c r="E1" s="965" t="s">
        <v>3591</v>
      </c>
      <c r="F1" s="965" t="s">
        <v>3592</v>
      </c>
      <c r="G1" s="965" t="s">
        <v>3593</v>
      </c>
      <c r="H1" s="965" t="s">
        <v>3594</v>
      </c>
      <c r="I1" s="965" t="s">
        <v>3030</v>
      </c>
      <c r="J1" s="965" t="s">
        <v>3595</v>
      </c>
    </row>
    <row r="2" spans="1:10">
      <c r="A2" t="s">
        <v>4770</v>
      </c>
      <c r="B2" s="915" t="s">
        <v>3629</v>
      </c>
      <c r="C2" s="915" t="str">
        <f t="shared" ref="C2:C65" si="0">MONTH(B2)&amp;"월"</f>
        <v>12월</v>
      </c>
      <c r="D2" s="916" t="s">
        <v>4768</v>
      </c>
      <c r="E2" s="916"/>
      <c r="F2" s="916"/>
      <c r="G2" s="915"/>
      <c r="H2" s="917">
        <v>41985950</v>
      </c>
      <c r="I2" s="918"/>
      <c r="J2" s="918"/>
    </row>
    <row r="3" spans="1:10">
      <c r="A3" t="s">
        <v>4770</v>
      </c>
      <c r="B3" s="915" t="s">
        <v>3629</v>
      </c>
      <c r="C3" s="915" t="str">
        <f t="shared" si="0"/>
        <v>12월</v>
      </c>
      <c r="D3" s="916" t="s">
        <v>4769</v>
      </c>
      <c r="E3" s="916"/>
      <c r="F3" s="916"/>
      <c r="G3" s="915"/>
      <c r="H3" s="917">
        <v>14511400</v>
      </c>
      <c r="I3" s="918"/>
      <c r="J3" s="918"/>
    </row>
    <row r="4" spans="1:10">
      <c r="A4" t="s">
        <v>4597</v>
      </c>
      <c r="B4" s="915" t="s">
        <v>4447</v>
      </c>
      <c r="C4" s="915" t="str">
        <f t="shared" si="0"/>
        <v>4월</v>
      </c>
      <c r="D4" s="916" t="s">
        <v>4448</v>
      </c>
      <c r="E4" s="916" t="s">
        <v>4449</v>
      </c>
      <c r="F4" s="916" t="s">
        <v>4450</v>
      </c>
      <c r="G4" s="915" t="s">
        <v>4451</v>
      </c>
      <c r="H4" s="917">
        <v>9000000</v>
      </c>
      <c r="I4" s="918"/>
      <c r="J4" s="917">
        <v>11828719</v>
      </c>
    </row>
    <row r="5" spans="1:10">
      <c r="A5" t="s">
        <v>4128</v>
      </c>
      <c r="B5" s="915" t="s">
        <v>3795</v>
      </c>
      <c r="C5" s="915" t="str">
        <f t="shared" si="0"/>
        <v>9월</v>
      </c>
      <c r="D5" s="916" t="s">
        <v>4123</v>
      </c>
      <c r="E5" s="916"/>
      <c r="F5" s="916" t="s">
        <v>4112</v>
      </c>
      <c r="G5" s="915"/>
      <c r="H5" s="917">
        <v>5945060</v>
      </c>
      <c r="I5" s="918"/>
      <c r="J5" s="917">
        <v>9340650</v>
      </c>
    </row>
    <row r="6" spans="1:10">
      <c r="A6" t="s">
        <v>4597</v>
      </c>
      <c r="B6" s="915" t="s">
        <v>3884</v>
      </c>
      <c r="C6" s="915" t="str">
        <f t="shared" si="0"/>
        <v>5월</v>
      </c>
      <c r="D6" s="916" t="s">
        <v>4471</v>
      </c>
      <c r="E6" s="916"/>
      <c r="F6" s="916" t="s">
        <v>4472</v>
      </c>
      <c r="G6" s="915"/>
      <c r="H6" s="917">
        <v>3150000</v>
      </c>
      <c r="I6" s="918"/>
      <c r="J6" s="917">
        <v>15638500</v>
      </c>
    </row>
    <row r="7" spans="1:10">
      <c r="A7" t="s">
        <v>4765</v>
      </c>
      <c r="B7" s="915" t="s">
        <v>3324</v>
      </c>
      <c r="C7" s="915" t="str">
        <f t="shared" si="0"/>
        <v>6월</v>
      </c>
      <c r="D7" s="916" t="s">
        <v>4709</v>
      </c>
      <c r="E7" s="916" t="s">
        <v>4710</v>
      </c>
      <c r="F7" s="916" t="s">
        <v>4711</v>
      </c>
      <c r="G7" s="915" t="s">
        <v>4712</v>
      </c>
      <c r="H7" s="917">
        <v>3000000</v>
      </c>
      <c r="I7" s="918"/>
      <c r="J7" s="917">
        <v>10155780</v>
      </c>
    </row>
    <row r="8" spans="1:10">
      <c r="A8" t="s">
        <v>4128</v>
      </c>
      <c r="B8" s="915" t="s">
        <v>4118</v>
      </c>
      <c r="C8" s="915" t="str">
        <f t="shared" si="0"/>
        <v>7월</v>
      </c>
      <c r="D8" s="916" t="s">
        <v>4119</v>
      </c>
      <c r="E8" s="916"/>
      <c r="F8" s="916" t="s">
        <v>4112</v>
      </c>
      <c r="G8" s="915"/>
      <c r="H8" s="917">
        <v>2628990</v>
      </c>
      <c r="I8" s="918"/>
      <c r="J8" s="918"/>
    </row>
    <row r="9" spans="1:10" ht="22.5">
      <c r="A9" t="s">
        <v>3921</v>
      </c>
      <c r="B9" s="915" t="s">
        <v>3739</v>
      </c>
      <c r="C9" s="915" t="str">
        <f t="shared" si="0"/>
        <v>5월</v>
      </c>
      <c r="D9" s="916" t="s">
        <v>3907</v>
      </c>
      <c r="E9" s="916"/>
      <c r="F9" s="916" t="s">
        <v>3908</v>
      </c>
      <c r="G9" s="915"/>
      <c r="H9" s="917">
        <v>2179560</v>
      </c>
      <c r="I9" s="918"/>
      <c r="J9" s="918"/>
    </row>
    <row r="10" spans="1:10">
      <c r="A10" t="s">
        <v>4765</v>
      </c>
      <c r="B10" s="915" t="s">
        <v>3328</v>
      </c>
      <c r="C10" s="915" t="str">
        <f t="shared" si="0"/>
        <v>12월</v>
      </c>
      <c r="D10" s="916" t="s">
        <v>4755</v>
      </c>
      <c r="E10" s="916" t="s">
        <v>4751</v>
      </c>
      <c r="F10" s="916" t="s">
        <v>4752</v>
      </c>
      <c r="G10" s="915" t="s">
        <v>4753</v>
      </c>
      <c r="H10" s="917">
        <v>2078000</v>
      </c>
      <c r="I10" s="918"/>
      <c r="J10" s="917">
        <v>25963380</v>
      </c>
    </row>
    <row r="11" spans="1:10" ht="22.5">
      <c r="A11" t="s">
        <v>3921</v>
      </c>
      <c r="B11" s="915" t="s">
        <v>3801</v>
      </c>
      <c r="C11" s="915" t="str">
        <f t="shared" si="0"/>
        <v>9월</v>
      </c>
      <c r="D11" s="916" t="s">
        <v>3910</v>
      </c>
      <c r="E11" s="916"/>
      <c r="F11" s="916" t="s">
        <v>3911</v>
      </c>
      <c r="G11" s="915"/>
      <c r="H11" s="917">
        <v>1980000</v>
      </c>
      <c r="I11" s="918"/>
      <c r="J11" s="917">
        <v>4194334</v>
      </c>
    </row>
    <row r="12" spans="1:10">
      <c r="A12" t="s">
        <v>4765</v>
      </c>
      <c r="B12" s="915" t="s">
        <v>3330</v>
      </c>
      <c r="C12" s="915" t="str">
        <f t="shared" si="0"/>
        <v>12월</v>
      </c>
      <c r="D12" s="916" t="s">
        <v>4757</v>
      </c>
      <c r="E12" s="916" t="s">
        <v>4659</v>
      </c>
      <c r="F12" s="916" t="s">
        <v>4660</v>
      </c>
      <c r="G12" s="915" t="s">
        <v>4661</v>
      </c>
      <c r="H12" s="917">
        <v>1730000</v>
      </c>
      <c r="I12" s="918"/>
      <c r="J12" s="918"/>
    </row>
    <row r="13" spans="1:10">
      <c r="A13" t="s">
        <v>4650</v>
      </c>
      <c r="B13" s="915" t="s">
        <v>3676</v>
      </c>
      <c r="C13" s="915" t="str">
        <f t="shared" si="0"/>
        <v>2월</v>
      </c>
      <c r="D13" s="916" t="s">
        <v>4640</v>
      </c>
      <c r="E13" s="916" t="s">
        <v>4632</v>
      </c>
      <c r="F13" s="916" t="s">
        <v>4633</v>
      </c>
      <c r="G13" s="915" t="s">
        <v>4634</v>
      </c>
      <c r="H13" s="917">
        <v>1510000</v>
      </c>
      <c r="I13" s="918"/>
      <c r="J13" s="917">
        <v>2273700</v>
      </c>
    </row>
    <row r="14" spans="1:10" ht="22.5">
      <c r="A14" t="s">
        <v>4765</v>
      </c>
      <c r="B14" s="915" t="s">
        <v>3326</v>
      </c>
      <c r="C14" s="915" t="str">
        <f t="shared" si="0"/>
        <v>7월</v>
      </c>
      <c r="D14" s="916" t="s">
        <v>4721</v>
      </c>
      <c r="E14" s="916" t="s">
        <v>4710</v>
      </c>
      <c r="F14" s="916" t="s">
        <v>4711</v>
      </c>
      <c r="G14" s="915" t="s">
        <v>4712</v>
      </c>
      <c r="H14" s="917">
        <v>1500000</v>
      </c>
      <c r="I14" s="918"/>
      <c r="J14" s="917">
        <v>14117580</v>
      </c>
    </row>
    <row r="15" spans="1:10">
      <c r="A15" t="s">
        <v>4010</v>
      </c>
      <c r="B15" s="915" t="s">
        <v>3895</v>
      </c>
      <c r="C15" s="915" t="str">
        <f t="shared" si="0"/>
        <v>9월</v>
      </c>
      <c r="D15" s="916" t="s">
        <v>3983</v>
      </c>
      <c r="E15" s="916"/>
      <c r="F15" s="916" t="s">
        <v>3984</v>
      </c>
      <c r="G15" s="915"/>
      <c r="H15" s="917">
        <v>1260000</v>
      </c>
      <c r="I15" s="918"/>
      <c r="J15" s="917">
        <v>6784540</v>
      </c>
    </row>
    <row r="16" spans="1:10">
      <c r="A16" t="s">
        <v>4010</v>
      </c>
      <c r="B16" s="915" t="s">
        <v>3872</v>
      </c>
      <c r="C16" s="915" t="str">
        <f t="shared" si="0"/>
        <v>1월</v>
      </c>
      <c r="D16" s="916" t="s">
        <v>3930</v>
      </c>
      <c r="E16" s="916"/>
      <c r="F16" s="916" t="s">
        <v>3931</v>
      </c>
      <c r="G16" s="915"/>
      <c r="H16" s="917">
        <v>1190000</v>
      </c>
      <c r="I16" s="918"/>
      <c r="J16" s="917">
        <v>1271200</v>
      </c>
    </row>
    <row r="17" spans="1:10">
      <c r="A17" t="s">
        <v>4010</v>
      </c>
      <c r="B17" s="915" t="s">
        <v>3892</v>
      </c>
      <c r="C17" s="915" t="str">
        <f t="shared" si="0"/>
        <v>8월</v>
      </c>
      <c r="D17" s="916" t="s">
        <v>3970</v>
      </c>
      <c r="E17" s="916"/>
      <c r="F17" s="916" t="s">
        <v>3971</v>
      </c>
      <c r="G17" s="915"/>
      <c r="H17" s="917">
        <v>1190000</v>
      </c>
      <c r="I17" s="918"/>
      <c r="J17" s="917">
        <v>4028920</v>
      </c>
    </row>
    <row r="18" spans="1:10">
      <c r="A18" t="s">
        <v>4010</v>
      </c>
      <c r="B18" s="915" t="s">
        <v>3898</v>
      </c>
      <c r="C18" s="915" t="str">
        <f t="shared" si="0"/>
        <v>10월</v>
      </c>
      <c r="D18" s="916" t="s">
        <v>3987</v>
      </c>
      <c r="E18" s="916"/>
      <c r="F18" s="916" t="s">
        <v>3988</v>
      </c>
      <c r="G18" s="915"/>
      <c r="H18" s="917">
        <v>1190000</v>
      </c>
      <c r="I18" s="918"/>
      <c r="J18" s="917">
        <v>7999540</v>
      </c>
    </row>
    <row r="19" spans="1:10">
      <c r="A19" t="s">
        <v>4765</v>
      </c>
      <c r="B19" s="915" t="s">
        <v>3332</v>
      </c>
      <c r="C19" s="915" t="str">
        <f t="shared" si="0"/>
        <v>12월</v>
      </c>
      <c r="D19" s="916" t="s">
        <v>4759</v>
      </c>
      <c r="E19" s="916" t="s">
        <v>4710</v>
      </c>
      <c r="F19" s="916" t="s">
        <v>4711</v>
      </c>
      <c r="G19" s="915" t="s">
        <v>4712</v>
      </c>
      <c r="H19" s="917">
        <v>1150000</v>
      </c>
      <c r="I19" s="918"/>
      <c r="J19" s="917">
        <v>30120380</v>
      </c>
    </row>
    <row r="20" spans="1:10">
      <c r="A20" t="s">
        <v>4010</v>
      </c>
      <c r="B20" s="915" t="s">
        <v>3878</v>
      </c>
      <c r="C20" s="915" t="str">
        <f t="shared" si="0"/>
        <v>3월</v>
      </c>
      <c r="D20" s="916" t="s">
        <v>3944</v>
      </c>
      <c r="E20" s="916"/>
      <c r="F20" s="916" t="s">
        <v>3945</v>
      </c>
      <c r="G20" s="915"/>
      <c r="H20" s="917">
        <v>1120000</v>
      </c>
      <c r="I20" s="918"/>
      <c r="J20" s="917">
        <v>5000860</v>
      </c>
    </row>
    <row r="21" spans="1:10">
      <c r="A21" t="s">
        <v>4010</v>
      </c>
      <c r="B21" s="915" t="s">
        <v>3881</v>
      </c>
      <c r="C21" s="915" t="str">
        <f t="shared" si="0"/>
        <v>4월</v>
      </c>
      <c r="D21" s="916" t="s">
        <v>3954</v>
      </c>
      <c r="E21" s="916"/>
      <c r="F21" s="916" t="s">
        <v>3955</v>
      </c>
      <c r="G21" s="915"/>
      <c r="H21" s="917">
        <v>1120000</v>
      </c>
      <c r="I21" s="918"/>
      <c r="J21" s="917">
        <v>4147820</v>
      </c>
    </row>
    <row r="22" spans="1:10">
      <c r="A22" t="s">
        <v>4010</v>
      </c>
      <c r="B22" s="915" t="s">
        <v>3884</v>
      </c>
      <c r="C22" s="915" t="str">
        <f t="shared" si="0"/>
        <v>5월</v>
      </c>
      <c r="D22" s="916" t="s">
        <v>3957</v>
      </c>
      <c r="E22" s="916"/>
      <c r="F22" s="916" t="s">
        <v>3958</v>
      </c>
      <c r="G22" s="915"/>
      <c r="H22" s="917">
        <v>1120000</v>
      </c>
      <c r="I22" s="918"/>
      <c r="J22" s="917">
        <v>5340320</v>
      </c>
    </row>
    <row r="23" spans="1:10">
      <c r="A23" t="s">
        <v>4010</v>
      </c>
      <c r="B23" s="915" t="s">
        <v>3901</v>
      </c>
      <c r="C23" s="915" t="str">
        <f t="shared" si="0"/>
        <v>11월</v>
      </c>
      <c r="D23" s="916" t="s">
        <v>3994</v>
      </c>
      <c r="E23" s="916"/>
      <c r="F23" s="916" t="s">
        <v>3995</v>
      </c>
      <c r="G23" s="915"/>
      <c r="H23" s="917">
        <v>1094550</v>
      </c>
      <c r="I23" s="918"/>
      <c r="J23" s="917">
        <v>6575890</v>
      </c>
    </row>
    <row r="24" spans="1:10">
      <c r="A24" t="s">
        <v>4010</v>
      </c>
      <c r="B24" s="915" t="s">
        <v>3875</v>
      </c>
      <c r="C24" s="915" t="str">
        <f t="shared" si="0"/>
        <v>2월</v>
      </c>
      <c r="D24" s="916" t="s">
        <v>3937</v>
      </c>
      <c r="E24" s="916"/>
      <c r="F24" s="916" t="s">
        <v>3938</v>
      </c>
      <c r="G24" s="915"/>
      <c r="H24" s="917">
        <v>1050000</v>
      </c>
      <c r="I24" s="918"/>
      <c r="J24" s="917">
        <v>3669600</v>
      </c>
    </row>
    <row r="25" spans="1:10">
      <c r="A25" t="s">
        <v>4010</v>
      </c>
      <c r="B25" s="915" t="s">
        <v>3887</v>
      </c>
      <c r="C25" s="915" t="str">
        <f t="shared" si="0"/>
        <v>6월</v>
      </c>
      <c r="D25" s="916" t="s">
        <v>3957</v>
      </c>
      <c r="E25" s="916"/>
      <c r="F25" s="916" t="s">
        <v>3962</v>
      </c>
      <c r="G25" s="915"/>
      <c r="H25" s="917">
        <v>1050000</v>
      </c>
      <c r="I25" s="918"/>
      <c r="J25" s="917">
        <v>1390320</v>
      </c>
    </row>
    <row r="26" spans="1:10">
      <c r="A26" t="s">
        <v>4010</v>
      </c>
      <c r="B26" s="915" t="s">
        <v>3889</v>
      </c>
      <c r="C26" s="915" t="str">
        <f t="shared" si="0"/>
        <v>7월</v>
      </c>
      <c r="D26" s="916" t="s">
        <v>3967</v>
      </c>
      <c r="E26" s="916"/>
      <c r="F26" s="916" t="s">
        <v>3968</v>
      </c>
      <c r="G26" s="915"/>
      <c r="H26" s="917">
        <v>1050000</v>
      </c>
      <c r="I26" s="918"/>
      <c r="J26" s="917">
        <v>2808920</v>
      </c>
    </row>
    <row r="27" spans="1:10">
      <c r="A27" t="s">
        <v>4765</v>
      </c>
      <c r="B27" s="915" t="s">
        <v>3613</v>
      </c>
      <c r="C27" s="915" t="str">
        <f t="shared" si="0"/>
        <v>6월</v>
      </c>
      <c r="D27" s="916" t="s">
        <v>4717</v>
      </c>
      <c r="E27" s="916" t="s">
        <v>4671</v>
      </c>
      <c r="F27" s="916" t="s">
        <v>4672</v>
      </c>
      <c r="G27" s="915" t="s">
        <v>4673</v>
      </c>
      <c r="H27" s="917">
        <v>1050000</v>
      </c>
      <c r="I27" s="918"/>
      <c r="J27" s="918"/>
    </row>
    <row r="28" spans="1:10">
      <c r="A28" t="s">
        <v>4765</v>
      </c>
      <c r="B28" s="915" t="s">
        <v>3776</v>
      </c>
      <c r="C28" s="915" t="str">
        <f t="shared" si="0"/>
        <v>7월</v>
      </c>
      <c r="D28" s="916" t="s">
        <v>4722</v>
      </c>
      <c r="E28" s="916" t="s">
        <v>4671</v>
      </c>
      <c r="F28" s="916" t="s">
        <v>4672</v>
      </c>
      <c r="G28" s="915" t="s">
        <v>4673</v>
      </c>
      <c r="H28" s="917">
        <v>1050000</v>
      </c>
      <c r="I28" s="918"/>
      <c r="J28" s="917">
        <v>15319580</v>
      </c>
    </row>
    <row r="29" spans="1:10">
      <c r="A29" t="s">
        <v>4765</v>
      </c>
      <c r="B29" s="915" t="s">
        <v>4532</v>
      </c>
      <c r="C29" s="915" t="str">
        <f t="shared" si="0"/>
        <v>8월</v>
      </c>
      <c r="D29" s="916" t="s">
        <v>4727</v>
      </c>
      <c r="E29" s="916" t="s">
        <v>4671</v>
      </c>
      <c r="F29" s="916" t="s">
        <v>4672</v>
      </c>
      <c r="G29" s="915" t="s">
        <v>4673</v>
      </c>
      <c r="H29" s="917">
        <v>1050000</v>
      </c>
      <c r="I29" s="918"/>
      <c r="J29" s="918"/>
    </row>
    <row r="30" spans="1:10">
      <c r="A30" t="s">
        <v>4765</v>
      </c>
      <c r="B30" s="915" t="s">
        <v>4207</v>
      </c>
      <c r="C30" s="915" t="str">
        <f t="shared" si="0"/>
        <v>9월</v>
      </c>
      <c r="D30" s="916" t="s">
        <v>4737</v>
      </c>
      <c r="E30" s="916" t="s">
        <v>4671</v>
      </c>
      <c r="F30" s="916" t="s">
        <v>4672</v>
      </c>
      <c r="G30" s="915" t="s">
        <v>4673</v>
      </c>
      <c r="H30" s="917">
        <v>1050000</v>
      </c>
      <c r="I30" s="918"/>
      <c r="J30" s="918"/>
    </row>
    <row r="31" spans="1:10">
      <c r="A31" t="s">
        <v>4765</v>
      </c>
      <c r="B31" s="915" t="s">
        <v>3824</v>
      </c>
      <c r="C31" s="915" t="str">
        <f t="shared" si="0"/>
        <v>10월</v>
      </c>
      <c r="D31" s="916" t="s">
        <v>4742</v>
      </c>
      <c r="E31" s="916" t="s">
        <v>4671</v>
      </c>
      <c r="F31" s="916" t="s">
        <v>4672</v>
      </c>
      <c r="G31" s="915" t="s">
        <v>4673</v>
      </c>
      <c r="H31" s="917">
        <v>1050000</v>
      </c>
      <c r="I31" s="918"/>
      <c r="J31" s="918"/>
    </row>
    <row r="32" spans="1:10">
      <c r="A32" t="s">
        <v>4765</v>
      </c>
      <c r="B32" s="915" t="s">
        <v>3841</v>
      </c>
      <c r="C32" s="915" t="str">
        <f t="shared" si="0"/>
        <v>11월</v>
      </c>
      <c r="D32" s="916" t="s">
        <v>4748</v>
      </c>
      <c r="E32" s="916" t="s">
        <v>4671</v>
      </c>
      <c r="F32" s="916" t="s">
        <v>4672</v>
      </c>
      <c r="G32" s="915" t="s">
        <v>4673</v>
      </c>
      <c r="H32" s="917">
        <v>1050000</v>
      </c>
      <c r="I32" s="918"/>
      <c r="J32" s="918"/>
    </row>
    <row r="33" spans="1:10">
      <c r="A33" t="s">
        <v>4765</v>
      </c>
      <c r="B33" s="915" t="s">
        <v>3332</v>
      </c>
      <c r="C33" s="915" t="str">
        <f t="shared" si="0"/>
        <v>12월</v>
      </c>
      <c r="D33" s="916" t="s">
        <v>4758</v>
      </c>
      <c r="E33" s="916" t="s">
        <v>4671</v>
      </c>
      <c r="F33" s="916" t="s">
        <v>4672</v>
      </c>
      <c r="G33" s="915" t="s">
        <v>4673</v>
      </c>
      <c r="H33" s="917">
        <v>1050000</v>
      </c>
      <c r="I33" s="918"/>
      <c r="J33" s="918"/>
    </row>
    <row r="34" spans="1:10">
      <c r="A34" t="s">
        <v>4010</v>
      </c>
      <c r="B34" s="915" t="s">
        <v>3864</v>
      </c>
      <c r="C34" s="915" t="str">
        <f t="shared" si="0"/>
        <v>12월</v>
      </c>
      <c r="D34" s="916" t="s">
        <v>4003</v>
      </c>
      <c r="E34" s="916"/>
      <c r="F34" s="916" t="s">
        <v>4004</v>
      </c>
      <c r="G34" s="915"/>
      <c r="H34" s="917">
        <v>1003330</v>
      </c>
      <c r="I34" s="918"/>
      <c r="J34" s="918"/>
    </row>
    <row r="35" spans="1:10" ht="22.5">
      <c r="A35" t="s">
        <v>4064</v>
      </c>
      <c r="B35" s="915" t="s">
        <v>4019</v>
      </c>
      <c r="C35" s="915" t="str">
        <f t="shared" si="0"/>
        <v>3월</v>
      </c>
      <c r="D35" s="916" t="s">
        <v>4020</v>
      </c>
      <c r="E35" s="916" t="s">
        <v>4021</v>
      </c>
      <c r="F35" s="916" t="s">
        <v>4022</v>
      </c>
      <c r="G35" s="915"/>
      <c r="H35" s="917">
        <v>1000000</v>
      </c>
      <c r="I35" s="918"/>
      <c r="J35" s="917">
        <v>-169295</v>
      </c>
    </row>
    <row r="36" spans="1:10">
      <c r="A36" t="s">
        <v>4010</v>
      </c>
      <c r="B36" s="915" t="s">
        <v>3787</v>
      </c>
      <c r="C36" s="915" t="str">
        <f t="shared" si="0"/>
        <v>9월</v>
      </c>
      <c r="D36" s="916" t="s">
        <v>3933</v>
      </c>
      <c r="E36" s="916"/>
      <c r="F36" s="916" t="s">
        <v>3977</v>
      </c>
      <c r="G36" s="915"/>
      <c r="H36" s="917">
        <v>900000</v>
      </c>
      <c r="I36" s="918"/>
      <c r="J36" s="917">
        <v>5063740</v>
      </c>
    </row>
    <row r="37" spans="1:10">
      <c r="A37" t="s">
        <v>4128</v>
      </c>
      <c r="B37" s="915" t="s">
        <v>3811</v>
      </c>
      <c r="C37" s="915" t="str">
        <f t="shared" si="0"/>
        <v>10월</v>
      </c>
      <c r="D37" s="916" t="s">
        <v>4125</v>
      </c>
      <c r="E37" s="916"/>
      <c r="F37" s="916" t="s">
        <v>4112</v>
      </c>
      <c r="G37" s="915"/>
      <c r="H37" s="917">
        <v>879600</v>
      </c>
      <c r="I37" s="918"/>
      <c r="J37" s="917">
        <v>10514540</v>
      </c>
    </row>
    <row r="38" spans="1:10">
      <c r="A38" t="s">
        <v>4010</v>
      </c>
      <c r="B38" s="915" t="s">
        <v>3932</v>
      </c>
      <c r="C38" s="915" t="str">
        <f t="shared" si="0"/>
        <v>1월</v>
      </c>
      <c r="D38" s="916" t="s">
        <v>3933</v>
      </c>
      <c r="E38" s="916"/>
      <c r="F38" s="916" t="s">
        <v>3934</v>
      </c>
      <c r="G38" s="915"/>
      <c r="H38" s="917">
        <v>850000</v>
      </c>
      <c r="I38" s="918"/>
      <c r="J38" s="917">
        <v>2121200</v>
      </c>
    </row>
    <row r="39" spans="1:10">
      <c r="A39" t="s">
        <v>3906</v>
      </c>
      <c r="B39" s="915" t="s">
        <v>3872</v>
      </c>
      <c r="C39" s="915" t="str">
        <f t="shared" si="0"/>
        <v>1월</v>
      </c>
      <c r="D39" s="916" t="s">
        <v>3873</v>
      </c>
      <c r="E39" s="916"/>
      <c r="F39" s="916" t="s">
        <v>3874</v>
      </c>
      <c r="G39" s="915"/>
      <c r="H39" s="917">
        <v>850000</v>
      </c>
      <c r="I39" s="918"/>
      <c r="J39" s="917">
        <v>850000</v>
      </c>
    </row>
    <row r="40" spans="1:10">
      <c r="A40" t="s">
        <v>3906</v>
      </c>
      <c r="B40" s="915" t="s">
        <v>3875</v>
      </c>
      <c r="C40" s="915" t="str">
        <f t="shared" si="0"/>
        <v>2월</v>
      </c>
      <c r="D40" s="916" t="s">
        <v>3876</v>
      </c>
      <c r="E40" s="916"/>
      <c r="F40" s="916" t="s">
        <v>3877</v>
      </c>
      <c r="G40" s="915"/>
      <c r="H40" s="917">
        <v>850000</v>
      </c>
      <c r="I40" s="918"/>
      <c r="J40" s="917">
        <v>1700000</v>
      </c>
    </row>
    <row r="41" spans="1:10">
      <c r="A41" t="s">
        <v>3906</v>
      </c>
      <c r="B41" s="915" t="s">
        <v>3878</v>
      </c>
      <c r="C41" s="915" t="str">
        <f t="shared" si="0"/>
        <v>3월</v>
      </c>
      <c r="D41" s="916" t="s">
        <v>3879</v>
      </c>
      <c r="E41" s="916"/>
      <c r="F41" s="916" t="s">
        <v>3880</v>
      </c>
      <c r="G41" s="915"/>
      <c r="H41" s="917">
        <v>850000</v>
      </c>
      <c r="I41" s="918"/>
      <c r="J41" s="917">
        <v>2550000</v>
      </c>
    </row>
    <row r="42" spans="1:10">
      <c r="A42" t="s">
        <v>3906</v>
      </c>
      <c r="B42" s="915" t="s">
        <v>3881</v>
      </c>
      <c r="C42" s="915" t="str">
        <f t="shared" si="0"/>
        <v>4월</v>
      </c>
      <c r="D42" s="916" t="s">
        <v>3882</v>
      </c>
      <c r="E42" s="916"/>
      <c r="F42" s="916" t="s">
        <v>3883</v>
      </c>
      <c r="G42" s="915"/>
      <c r="H42" s="917">
        <v>850000</v>
      </c>
      <c r="I42" s="918"/>
      <c r="J42" s="917">
        <v>3400000</v>
      </c>
    </row>
    <row r="43" spans="1:10">
      <c r="A43" t="s">
        <v>3906</v>
      </c>
      <c r="B43" s="915" t="s">
        <v>3884</v>
      </c>
      <c r="C43" s="915" t="str">
        <f t="shared" si="0"/>
        <v>5월</v>
      </c>
      <c r="D43" s="916" t="s">
        <v>3885</v>
      </c>
      <c r="E43" s="916"/>
      <c r="F43" s="916" t="s">
        <v>3886</v>
      </c>
      <c r="G43" s="915"/>
      <c r="H43" s="917">
        <v>850000</v>
      </c>
      <c r="I43" s="918"/>
      <c r="J43" s="917">
        <v>4250000</v>
      </c>
    </row>
    <row r="44" spans="1:10">
      <c r="A44" t="s">
        <v>3906</v>
      </c>
      <c r="B44" s="915" t="s">
        <v>3887</v>
      </c>
      <c r="C44" s="915" t="str">
        <f t="shared" si="0"/>
        <v>6월</v>
      </c>
      <c r="D44" s="916" t="s">
        <v>3885</v>
      </c>
      <c r="E44" s="916"/>
      <c r="F44" s="916" t="s">
        <v>3888</v>
      </c>
      <c r="G44" s="915"/>
      <c r="H44" s="917">
        <v>850000</v>
      </c>
      <c r="I44" s="918"/>
      <c r="J44" s="917">
        <v>5100000</v>
      </c>
    </row>
    <row r="45" spans="1:10">
      <c r="A45" t="s">
        <v>3906</v>
      </c>
      <c r="B45" s="915" t="s">
        <v>3892</v>
      </c>
      <c r="C45" s="915" t="str">
        <f t="shared" si="0"/>
        <v>8월</v>
      </c>
      <c r="D45" s="916" t="s">
        <v>3893</v>
      </c>
      <c r="E45" s="916"/>
      <c r="F45" s="916" t="s">
        <v>3894</v>
      </c>
      <c r="G45" s="915"/>
      <c r="H45" s="917">
        <v>850000</v>
      </c>
      <c r="I45" s="918"/>
      <c r="J45" s="917">
        <v>6700000</v>
      </c>
    </row>
    <row r="46" spans="1:10">
      <c r="A46" t="s">
        <v>3906</v>
      </c>
      <c r="B46" s="915" t="s">
        <v>3895</v>
      </c>
      <c r="C46" s="915" t="str">
        <f t="shared" si="0"/>
        <v>9월</v>
      </c>
      <c r="D46" s="916" t="s">
        <v>3896</v>
      </c>
      <c r="E46" s="916"/>
      <c r="F46" s="916" t="s">
        <v>3897</v>
      </c>
      <c r="G46" s="915"/>
      <c r="H46" s="917">
        <v>850000</v>
      </c>
      <c r="I46" s="918"/>
      <c r="J46" s="917">
        <v>7550000</v>
      </c>
    </row>
    <row r="47" spans="1:10">
      <c r="A47" t="s">
        <v>3906</v>
      </c>
      <c r="B47" s="915" t="s">
        <v>3898</v>
      </c>
      <c r="C47" s="915" t="str">
        <f t="shared" si="0"/>
        <v>10월</v>
      </c>
      <c r="D47" s="916" t="s">
        <v>3899</v>
      </c>
      <c r="E47" s="916"/>
      <c r="F47" s="916" t="s">
        <v>3900</v>
      </c>
      <c r="G47" s="915"/>
      <c r="H47" s="917">
        <v>850000</v>
      </c>
      <c r="I47" s="918"/>
      <c r="J47" s="917">
        <v>8400000</v>
      </c>
    </row>
    <row r="48" spans="1:10">
      <c r="A48" t="s">
        <v>3906</v>
      </c>
      <c r="B48" s="915" t="s">
        <v>3901</v>
      </c>
      <c r="C48" s="915" t="str">
        <f t="shared" si="0"/>
        <v>11월</v>
      </c>
      <c r="D48" s="916" t="s">
        <v>3902</v>
      </c>
      <c r="E48" s="916"/>
      <c r="F48" s="916" t="s">
        <v>3903</v>
      </c>
      <c r="G48" s="915"/>
      <c r="H48" s="917">
        <v>850000</v>
      </c>
      <c r="I48" s="918"/>
      <c r="J48" s="917">
        <v>9250000</v>
      </c>
    </row>
    <row r="49" spans="1:10">
      <c r="A49" t="s">
        <v>3906</v>
      </c>
      <c r="B49" s="915" t="s">
        <v>3864</v>
      </c>
      <c r="C49" s="915" t="str">
        <f t="shared" si="0"/>
        <v>12월</v>
      </c>
      <c r="D49" s="916" t="s">
        <v>3904</v>
      </c>
      <c r="E49" s="916"/>
      <c r="F49" s="916" t="s">
        <v>3905</v>
      </c>
      <c r="G49" s="915"/>
      <c r="H49" s="917">
        <v>850000</v>
      </c>
      <c r="I49" s="918"/>
      <c r="J49" s="917">
        <v>10100000</v>
      </c>
    </row>
    <row r="50" spans="1:10">
      <c r="A50" t="s">
        <v>3906</v>
      </c>
      <c r="B50" s="915" t="s">
        <v>3889</v>
      </c>
      <c r="C50" s="915" t="str">
        <f t="shared" si="0"/>
        <v>7월</v>
      </c>
      <c r="D50" s="916" t="s">
        <v>3890</v>
      </c>
      <c r="E50" s="916"/>
      <c r="F50" s="916" t="s">
        <v>3891</v>
      </c>
      <c r="G50" s="915"/>
      <c r="H50" s="917">
        <v>750000</v>
      </c>
      <c r="I50" s="918"/>
      <c r="J50" s="917">
        <v>5850000</v>
      </c>
    </row>
    <row r="51" spans="1:10" ht="22.5">
      <c r="A51" t="s">
        <v>4650</v>
      </c>
      <c r="B51" s="915" t="s">
        <v>4418</v>
      </c>
      <c r="C51" s="915" t="str">
        <f t="shared" si="0"/>
        <v>3월</v>
      </c>
      <c r="D51" s="916" t="s">
        <v>4646</v>
      </c>
      <c r="E51" s="916" t="s">
        <v>4632</v>
      </c>
      <c r="F51" s="916" t="s">
        <v>4633</v>
      </c>
      <c r="G51" s="915" t="s">
        <v>4634</v>
      </c>
      <c r="H51" s="917">
        <v>737000</v>
      </c>
      <c r="I51" s="918"/>
      <c r="J51" s="917">
        <v>3386220</v>
      </c>
    </row>
    <row r="52" spans="1:10">
      <c r="A52" t="s">
        <v>4765</v>
      </c>
      <c r="B52" s="915" t="s">
        <v>3649</v>
      </c>
      <c r="C52" s="915" t="str">
        <f t="shared" si="0"/>
        <v>1월</v>
      </c>
      <c r="D52" s="916" t="s">
        <v>4670</v>
      </c>
      <c r="E52" s="916" t="s">
        <v>4671</v>
      </c>
      <c r="F52" s="916" t="s">
        <v>4672</v>
      </c>
      <c r="G52" s="915" t="s">
        <v>4673</v>
      </c>
      <c r="H52" s="917">
        <v>650000</v>
      </c>
      <c r="I52" s="918"/>
      <c r="J52" s="918"/>
    </row>
    <row r="53" spans="1:10">
      <c r="A53" t="s">
        <v>4765</v>
      </c>
      <c r="B53" s="915" t="s">
        <v>3687</v>
      </c>
      <c r="C53" s="915" t="str">
        <f t="shared" si="0"/>
        <v>2월</v>
      </c>
      <c r="D53" s="916" t="s">
        <v>4684</v>
      </c>
      <c r="E53" s="916" t="s">
        <v>4671</v>
      </c>
      <c r="F53" s="916" t="s">
        <v>4672</v>
      </c>
      <c r="G53" s="915" t="s">
        <v>4673</v>
      </c>
      <c r="H53" s="917">
        <v>650000</v>
      </c>
      <c r="I53" s="918"/>
      <c r="J53" s="918"/>
    </row>
    <row r="54" spans="1:10">
      <c r="A54" t="s">
        <v>4765</v>
      </c>
      <c r="B54" s="915" t="s">
        <v>4177</v>
      </c>
      <c r="C54" s="915" t="str">
        <f t="shared" si="0"/>
        <v>3월</v>
      </c>
      <c r="D54" s="916" t="s">
        <v>4686</v>
      </c>
      <c r="E54" s="916" t="s">
        <v>4671</v>
      </c>
      <c r="F54" s="916" t="s">
        <v>4672</v>
      </c>
      <c r="G54" s="915" t="s">
        <v>4673</v>
      </c>
      <c r="H54" s="917">
        <v>650000</v>
      </c>
      <c r="I54" s="918"/>
      <c r="J54" s="918"/>
    </row>
    <row r="55" spans="1:10">
      <c r="A55" t="s">
        <v>4765</v>
      </c>
      <c r="B55" s="915" t="s">
        <v>4332</v>
      </c>
      <c r="C55" s="915" t="str">
        <f t="shared" si="0"/>
        <v>4월</v>
      </c>
      <c r="D55" s="916" t="s">
        <v>4687</v>
      </c>
      <c r="E55" s="916" t="s">
        <v>4671</v>
      </c>
      <c r="F55" s="916" t="s">
        <v>4672</v>
      </c>
      <c r="G55" s="915" t="s">
        <v>4673</v>
      </c>
      <c r="H55" s="917">
        <v>650000</v>
      </c>
      <c r="I55" s="918"/>
      <c r="J55" s="917">
        <v>4591700</v>
      </c>
    </row>
    <row r="56" spans="1:10">
      <c r="A56" t="s">
        <v>4765</v>
      </c>
      <c r="B56" s="915" t="s">
        <v>3747</v>
      </c>
      <c r="C56" s="915" t="str">
        <f t="shared" si="0"/>
        <v>5월</v>
      </c>
      <c r="D56" s="916" t="s">
        <v>4708</v>
      </c>
      <c r="E56" s="916" t="s">
        <v>4671</v>
      </c>
      <c r="F56" s="916" t="s">
        <v>4672</v>
      </c>
      <c r="G56" s="915" t="s">
        <v>4673</v>
      </c>
      <c r="H56" s="917">
        <v>650000</v>
      </c>
      <c r="I56" s="918"/>
      <c r="J56" s="918"/>
    </row>
    <row r="57" spans="1:10">
      <c r="A57" t="s">
        <v>4148</v>
      </c>
      <c r="B57" s="915" t="s">
        <v>4129</v>
      </c>
      <c r="C57" s="915" t="str">
        <f t="shared" si="0"/>
        <v>1월</v>
      </c>
      <c r="D57" s="916" t="s">
        <v>4130</v>
      </c>
      <c r="E57" s="916" t="s">
        <v>4131</v>
      </c>
      <c r="F57" s="916" t="s">
        <v>4132</v>
      </c>
      <c r="G57" s="915"/>
      <c r="H57" s="917">
        <v>600000</v>
      </c>
      <c r="I57" s="918"/>
      <c r="J57" s="917">
        <v>600000</v>
      </c>
    </row>
    <row r="58" spans="1:10">
      <c r="A58" t="s">
        <v>4148</v>
      </c>
      <c r="B58" s="915" t="s">
        <v>3685</v>
      </c>
      <c r="C58" s="915" t="str">
        <f t="shared" si="0"/>
        <v>2월</v>
      </c>
      <c r="D58" s="916" t="s">
        <v>4130</v>
      </c>
      <c r="E58" s="916" t="s">
        <v>4131</v>
      </c>
      <c r="F58" s="916" t="s">
        <v>4132</v>
      </c>
      <c r="G58" s="915"/>
      <c r="H58" s="917">
        <v>600000</v>
      </c>
      <c r="I58" s="918"/>
      <c r="J58" s="917">
        <v>1200000</v>
      </c>
    </row>
    <row r="59" spans="1:10">
      <c r="A59" t="s">
        <v>4148</v>
      </c>
      <c r="B59" s="915" t="s">
        <v>4137</v>
      </c>
      <c r="C59" s="915" t="str">
        <f t="shared" si="0"/>
        <v>3월</v>
      </c>
      <c r="D59" s="916" t="s">
        <v>4130</v>
      </c>
      <c r="E59" s="916" t="s">
        <v>4131</v>
      </c>
      <c r="F59" s="916" t="s">
        <v>4132</v>
      </c>
      <c r="G59" s="915"/>
      <c r="H59" s="917">
        <v>600000</v>
      </c>
      <c r="I59" s="918"/>
      <c r="J59" s="917">
        <v>1926220</v>
      </c>
    </row>
    <row r="60" spans="1:10">
      <c r="A60" t="s">
        <v>4148</v>
      </c>
      <c r="B60" s="915" t="s">
        <v>4138</v>
      </c>
      <c r="C60" s="915" t="str">
        <f t="shared" si="0"/>
        <v>4월</v>
      </c>
      <c r="D60" s="916" t="s">
        <v>4130</v>
      </c>
      <c r="E60" s="916" t="s">
        <v>4131</v>
      </c>
      <c r="F60" s="916" t="s">
        <v>4132</v>
      </c>
      <c r="G60" s="915"/>
      <c r="H60" s="917">
        <v>600000</v>
      </c>
      <c r="I60" s="918"/>
      <c r="J60" s="917">
        <v>2526220</v>
      </c>
    </row>
    <row r="61" spans="1:10">
      <c r="A61" t="s">
        <v>4148</v>
      </c>
      <c r="B61" s="915" t="s">
        <v>4139</v>
      </c>
      <c r="C61" s="915" t="str">
        <f t="shared" si="0"/>
        <v>5월</v>
      </c>
      <c r="D61" s="916" t="s">
        <v>4130</v>
      </c>
      <c r="E61" s="916" t="s">
        <v>4131</v>
      </c>
      <c r="F61" s="916" t="s">
        <v>4132</v>
      </c>
      <c r="G61" s="915"/>
      <c r="H61" s="917">
        <v>600000</v>
      </c>
      <c r="I61" s="918"/>
      <c r="J61" s="917">
        <v>3126220</v>
      </c>
    </row>
    <row r="62" spans="1:10">
      <c r="A62" t="s">
        <v>4148</v>
      </c>
      <c r="B62" s="915" t="s">
        <v>4140</v>
      </c>
      <c r="C62" s="915" t="str">
        <f t="shared" si="0"/>
        <v>6월</v>
      </c>
      <c r="D62" s="916" t="s">
        <v>4130</v>
      </c>
      <c r="E62" s="916" t="s">
        <v>4131</v>
      </c>
      <c r="F62" s="916" t="s">
        <v>4132</v>
      </c>
      <c r="G62" s="915"/>
      <c r="H62" s="917">
        <v>600000</v>
      </c>
      <c r="I62" s="918"/>
      <c r="J62" s="917">
        <v>3726220</v>
      </c>
    </row>
    <row r="63" spans="1:10">
      <c r="A63" t="s">
        <v>4148</v>
      </c>
      <c r="B63" s="915" t="s">
        <v>4141</v>
      </c>
      <c r="C63" s="915" t="str">
        <f t="shared" si="0"/>
        <v>7월</v>
      </c>
      <c r="D63" s="916" t="s">
        <v>4130</v>
      </c>
      <c r="E63" s="916" t="s">
        <v>4131</v>
      </c>
      <c r="F63" s="916" t="s">
        <v>4132</v>
      </c>
      <c r="G63" s="915"/>
      <c r="H63" s="917">
        <v>600000</v>
      </c>
      <c r="I63" s="918"/>
      <c r="J63" s="917">
        <v>4326220</v>
      </c>
    </row>
    <row r="64" spans="1:10">
      <c r="A64" t="s">
        <v>4148</v>
      </c>
      <c r="B64" s="915" t="s">
        <v>4142</v>
      </c>
      <c r="C64" s="915" t="str">
        <f t="shared" si="0"/>
        <v>8월</v>
      </c>
      <c r="D64" s="916" t="s">
        <v>4130</v>
      </c>
      <c r="E64" s="916" t="s">
        <v>4131</v>
      </c>
      <c r="F64" s="916" t="s">
        <v>4132</v>
      </c>
      <c r="G64" s="915"/>
      <c r="H64" s="917">
        <v>600000</v>
      </c>
      <c r="I64" s="918"/>
      <c r="J64" s="917">
        <v>4926220</v>
      </c>
    </row>
    <row r="65" spans="1:10">
      <c r="A65" t="s">
        <v>4148</v>
      </c>
      <c r="B65" s="915" t="s">
        <v>4143</v>
      </c>
      <c r="C65" s="915" t="str">
        <f t="shared" si="0"/>
        <v>9월</v>
      </c>
      <c r="D65" s="916" t="s">
        <v>4130</v>
      </c>
      <c r="E65" s="916" t="s">
        <v>4131</v>
      </c>
      <c r="F65" s="916" t="s">
        <v>4132</v>
      </c>
      <c r="G65" s="915"/>
      <c r="H65" s="917">
        <v>600000</v>
      </c>
      <c r="I65" s="918"/>
      <c r="J65" s="917">
        <v>5526220</v>
      </c>
    </row>
    <row r="66" spans="1:10">
      <c r="A66" t="s">
        <v>4148</v>
      </c>
      <c r="B66" s="915" t="s">
        <v>4144</v>
      </c>
      <c r="C66" s="915" t="str">
        <f t="shared" ref="C66:C129" si="1">MONTH(B66)&amp;"월"</f>
        <v>10월</v>
      </c>
      <c r="D66" s="916" t="s">
        <v>4130</v>
      </c>
      <c r="E66" s="916" t="s">
        <v>4131</v>
      </c>
      <c r="F66" s="916" t="s">
        <v>4132</v>
      </c>
      <c r="G66" s="915"/>
      <c r="H66" s="917">
        <v>600000</v>
      </c>
      <c r="I66" s="918"/>
      <c r="J66" s="917">
        <v>6126220</v>
      </c>
    </row>
    <row r="67" spans="1:10">
      <c r="A67" t="s">
        <v>4148</v>
      </c>
      <c r="B67" s="915" t="s">
        <v>3838</v>
      </c>
      <c r="C67" s="915" t="str">
        <f t="shared" si="1"/>
        <v>11월</v>
      </c>
      <c r="D67" s="916" t="s">
        <v>4130</v>
      </c>
      <c r="E67" s="916" t="s">
        <v>4131</v>
      </c>
      <c r="F67" s="916" t="s">
        <v>4132</v>
      </c>
      <c r="G67" s="915"/>
      <c r="H67" s="917">
        <v>600000</v>
      </c>
      <c r="I67" s="918"/>
      <c r="J67" s="917">
        <v>6726220</v>
      </c>
    </row>
    <row r="68" spans="1:10">
      <c r="A68" t="s">
        <v>4148</v>
      </c>
      <c r="B68" s="915" t="s">
        <v>4145</v>
      </c>
      <c r="C68" s="915" t="str">
        <f t="shared" si="1"/>
        <v>12월</v>
      </c>
      <c r="D68" s="916" t="s">
        <v>4130</v>
      </c>
      <c r="E68" s="916" t="s">
        <v>4131</v>
      </c>
      <c r="F68" s="916" t="s">
        <v>4132</v>
      </c>
      <c r="G68" s="915"/>
      <c r="H68" s="917">
        <v>600000</v>
      </c>
      <c r="I68" s="918"/>
      <c r="J68" s="917">
        <v>7326220</v>
      </c>
    </row>
    <row r="69" spans="1:10">
      <c r="A69" t="s">
        <v>4064</v>
      </c>
      <c r="B69" s="915" t="s">
        <v>3754</v>
      </c>
      <c r="C69" s="915" t="str">
        <f t="shared" si="1"/>
        <v>6월</v>
      </c>
      <c r="D69" s="916" t="s">
        <v>4042</v>
      </c>
      <c r="E69" s="916"/>
      <c r="F69" s="916" t="s">
        <v>4046</v>
      </c>
      <c r="G69" s="915"/>
      <c r="H69" s="917">
        <v>561000</v>
      </c>
      <c r="I69" s="918"/>
      <c r="J69" s="918"/>
    </row>
    <row r="70" spans="1:10">
      <c r="A70" t="s">
        <v>4597</v>
      </c>
      <c r="B70" s="915" t="s">
        <v>3640</v>
      </c>
      <c r="C70" s="915" t="str">
        <f t="shared" si="1"/>
        <v>1월</v>
      </c>
      <c r="D70" s="916" t="s">
        <v>4389</v>
      </c>
      <c r="E70" s="916" t="s">
        <v>4390</v>
      </c>
      <c r="F70" s="916" t="s">
        <v>4391</v>
      </c>
      <c r="G70" s="915" t="s">
        <v>4392</v>
      </c>
      <c r="H70" s="917">
        <v>451000</v>
      </c>
      <c r="I70" s="918"/>
      <c r="J70" s="918"/>
    </row>
    <row r="71" spans="1:10">
      <c r="A71" t="s">
        <v>4597</v>
      </c>
      <c r="B71" s="915" t="s">
        <v>4167</v>
      </c>
      <c r="C71" s="915" t="str">
        <f t="shared" si="1"/>
        <v>2월</v>
      </c>
      <c r="D71" s="916" t="s">
        <v>4389</v>
      </c>
      <c r="E71" s="916" t="s">
        <v>4390</v>
      </c>
      <c r="F71" s="916" t="s">
        <v>4391</v>
      </c>
      <c r="G71" s="915" t="s">
        <v>4392</v>
      </c>
      <c r="H71" s="917">
        <v>451000</v>
      </c>
      <c r="I71" s="918"/>
      <c r="J71" s="917">
        <v>1228816</v>
      </c>
    </row>
    <row r="72" spans="1:10">
      <c r="A72" t="s">
        <v>4597</v>
      </c>
      <c r="B72" s="915" t="s">
        <v>4427</v>
      </c>
      <c r="C72" s="915" t="str">
        <f t="shared" si="1"/>
        <v>3월</v>
      </c>
      <c r="D72" s="916" t="s">
        <v>4389</v>
      </c>
      <c r="E72" s="916" t="s">
        <v>4390</v>
      </c>
      <c r="F72" s="916" t="s">
        <v>4391</v>
      </c>
      <c r="G72" s="915" t="s">
        <v>4392</v>
      </c>
      <c r="H72" s="917">
        <v>451000</v>
      </c>
      <c r="I72" s="918"/>
      <c r="J72" s="918"/>
    </row>
    <row r="73" spans="1:10">
      <c r="A73" t="s">
        <v>4597</v>
      </c>
      <c r="B73" s="915" t="s">
        <v>4181</v>
      </c>
      <c r="C73" s="915" t="str">
        <f t="shared" si="1"/>
        <v>4월</v>
      </c>
      <c r="D73" s="916" t="s">
        <v>4389</v>
      </c>
      <c r="E73" s="916" t="s">
        <v>4390</v>
      </c>
      <c r="F73" s="916" t="s">
        <v>4391</v>
      </c>
      <c r="G73" s="915" t="s">
        <v>4392</v>
      </c>
      <c r="H73" s="917">
        <v>451000</v>
      </c>
      <c r="I73" s="918"/>
      <c r="J73" s="918"/>
    </row>
    <row r="74" spans="1:10">
      <c r="A74" t="s">
        <v>4597</v>
      </c>
      <c r="B74" s="915" t="s">
        <v>4025</v>
      </c>
      <c r="C74" s="915" t="str">
        <f t="shared" si="1"/>
        <v>5월</v>
      </c>
      <c r="D74" s="916" t="s">
        <v>4389</v>
      </c>
      <c r="E74" s="916" t="s">
        <v>4390</v>
      </c>
      <c r="F74" s="916" t="s">
        <v>4391</v>
      </c>
      <c r="G74" s="915" t="s">
        <v>4392</v>
      </c>
      <c r="H74" s="917">
        <v>451000</v>
      </c>
      <c r="I74" s="918"/>
      <c r="J74" s="918"/>
    </row>
    <row r="75" spans="1:10">
      <c r="A75" t="s">
        <v>4597</v>
      </c>
      <c r="B75" s="915" t="s">
        <v>4035</v>
      </c>
      <c r="C75" s="915" t="str">
        <f t="shared" si="1"/>
        <v>6월</v>
      </c>
      <c r="D75" s="916" t="s">
        <v>4389</v>
      </c>
      <c r="E75" s="916" t="s">
        <v>4390</v>
      </c>
      <c r="F75" s="916" t="s">
        <v>4391</v>
      </c>
      <c r="G75" s="915" t="s">
        <v>4392</v>
      </c>
      <c r="H75" s="917">
        <v>451000</v>
      </c>
      <c r="I75" s="918"/>
      <c r="J75" s="918"/>
    </row>
    <row r="76" spans="1:10">
      <c r="A76" t="s">
        <v>4597</v>
      </c>
      <c r="B76" s="915" t="s">
        <v>4118</v>
      </c>
      <c r="C76" s="915" t="str">
        <f t="shared" si="1"/>
        <v>7월</v>
      </c>
      <c r="D76" s="916" t="s">
        <v>4389</v>
      </c>
      <c r="E76" s="916" t="s">
        <v>4390</v>
      </c>
      <c r="F76" s="916" t="s">
        <v>4391</v>
      </c>
      <c r="G76" s="915" t="s">
        <v>4392</v>
      </c>
      <c r="H76" s="917">
        <v>451000</v>
      </c>
      <c r="I76" s="918"/>
      <c r="J76" s="918"/>
    </row>
    <row r="77" spans="1:10">
      <c r="A77" t="s">
        <v>4597</v>
      </c>
      <c r="B77" s="915" t="s">
        <v>4269</v>
      </c>
      <c r="C77" s="915" t="str">
        <f t="shared" si="1"/>
        <v>8월</v>
      </c>
      <c r="D77" s="916" t="s">
        <v>4389</v>
      </c>
      <c r="E77" s="916" t="s">
        <v>4390</v>
      </c>
      <c r="F77" s="916" t="s">
        <v>4391</v>
      </c>
      <c r="G77" s="915" t="s">
        <v>4392</v>
      </c>
      <c r="H77" s="917">
        <v>451000</v>
      </c>
      <c r="I77" s="918"/>
      <c r="J77" s="918"/>
    </row>
    <row r="78" spans="1:10">
      <c r="A78" t="s">
        <v>4597</v>
      </c>
      <c r="B78" s="915" t="s">
        <v>3787</v>
      </c>
      <c r="C78" s="915" t="str">
        <f t="shared" si="1"/>
        <v>9월</v>
      </c>
      <c r="D78" s="916" t="s">
        <v>4389</v>
      </c>
      <c r="E78" s="916" t="s">
        <v>4390</v>
      </c>
      <c r="F78" s="916" t="s">
        <v>4391</v>
      </c>
      <c r="G78" s="915" t="s">
        <v>4392</v>
      </c>
      <c r="H78" s="917">
        <v>451000</v>
      </c>
      <c r="I78" s="918"/>
      <c r="J78" s="917">
        <v>18514289</v>
      </c>
    </row>
    <row r="79" spans="1:10">
      <c r="A79" t="s">
        <v>4597</v>
      </c>
      <c r="B79" s="915" t="s">
        <v>4544</v>
      </c>
      <c r="C79" s="915" t="str">
        <f t="shared" si="1"/>
        <v>10월</v>
      </c>
      <c r="D79" s="916" t="s">
        <v>4389</v>
      </c>
      <c r="E79" s="916" t="s">
        <v>4390</v>
      </c>
      <c r="F79" s="916" t="s">
        <v>4391</v>
      </c>
      <c r="G79" s="915" t="s">
        <v>4392</v>
      </c>
      <c r="H79" s="917">
        <v>451000</v>
      </c>
      <c r="I79" s="918"/>
      <c r="J79" s="918"/>
    </row>
    <row r="80" spans="1:10">
      <c r="A80" t="s">
        <v>4597</v>
      </c>
      <c r="B80" s="915" t="s">
        <v>3829</v>
      </c>
      <c r="C80" s="915" t="str">
        <f t="shared" si="1"/>
        <v>11월</v>
      </c>
      <c r="D80" s="916" t="s">
        <v>4389</v>
      </c>
      <c r="E80" s="916" t="s">
        <v>4390</v>
      </c>
      <c r="F80" s="916" t="s">
        <v>4391</v>
      </c>
      <c r="G80" s="915" t="s">
        <v>4392</v>
      </c>
      <c r="H80" s="917">
        <v>451000</v>
      </c>
      <c r="I80" s="918"/>
      <c r="J80" s="917">
        <v>19523039</v>
      </c>
    </row>
    <row r="81" spans="1:10">
      <c r="A81" t="s">
        <v>4597</v>
      </c>
      <c r="B81" s="915" t="s">
        <v>3856</v>
      </c>
      <c r="C81" s="915" t="str">
        <f t="shared" si="1"/>
        <v>12월</v>
      </c>
      <c r="D81" s="916" t="s">
        <v>4389</v>
      </c>
      <c r="E81" s="916" t="s">
        <v>4390</v>
      </c>
      <c r="F81" s="916" t="s">
        <v>4391</v>
      </c>
      <c r="G81" s="915" t="s">
        <v>4392</v>
      </c>
      <c r="H81" s="917">
        <v>451000</v>
      </c>
      <c r="I81" s="918"/>
      <c r="J81" s="918"/>
    </row>
    <row r="82" spans="1:10">
      <c r="A82" t="s">
        <v>4220</v>
      </c>
      <c r="B82" s="915" t="s">
        <v>3838</v>
      </c>
      <c r="C82" s="915" t="str">
        <f t="shared" si="1"/>
        <v>11월</v>
      </c>
      <c r="D82" s="916" t="s">
        <v>4206</v>
      </c>
      <c r="E82" s="916"/>
      <c r="F82" s="916" t="s">
        <v>4154</v>
      </c>
      <c r="G82" s="915"/>
      <c r="H82" s="917">
        <v>421800</v>
      </c>
      <c r="I82" s="918"/>
      <c r="J82" s="918"/>
    </row>
    <row r="83" spans="1:10">
      <c r="A83" t="s">
        <v>4220</v>
      </c>
      <c r="B83" s="915" t="s">
        <v>3932</v>
      </c>
      <c r="C83" s="915" t="str">
        <f t="shared" si="1"/>
        <v>1월</v>
      </c>
      <c r="D83" s="916" t="s">
        <v>4153</v>
      </c>
      <c r="E83" s="916"/>
      <c r="F83" s="916" t="s">
        <v>4154</v>
      </c>
      <c r="G83" s="915"/>
      <c r="H83" s="917">
        <v>415400</v>
      </c>
      <c r="I83" s="918"/>
      <c r="J83" s="918"/>
    </row>
    <row r="84" spans="1:10">
      <c r="A84" t="s">
        <v>4220</v>
      </c>
      <c r="B84" s="915" t="s">
        <v>3706</v>
      </c>
      <c r="C84" s="915" t="str">
        <f t="shared" si="1"/>
        <v>3월</v>
      </c>
      <c r="D84" s="916" t="s">
        <v>4176</v>
      </c>
      <c r="E84" s="916"/>
      <c r="F84" s="916" t="s">
        <v>4154</v>
      </c>
      <c r="G84" s="915"/>
      <c r="H84" s="917">
        <v>412190</v>
      </c>
      <c r="I84" s="918"/>
      <c r="J84" s="918"/>
    </row>
    <row r="85" spans="1:10">
      <c r="A85" t="s">
        <v>4597</v>
      </c>
      <c r="B85" s="915" t="s">
        <v>4342</v>
      </c>
      <c r="C85" s="915" t="str">
        <f t="shared" si="1"/>
        <v>7월</v>
      </c>
      <c r="D85" s="916" t="s">
        <v>4505</v>
      </c>
      <c r="E85" s="916" t="s">
        <v>4506</v>
      </c>
      <c r="F85" s="916" t="s">
        <v>4507</v>
      </c>
      <c r="G85" s="915" t="s">
        <v>4508</v>
      </c>
      <c r="H85" s="917">
        <v>398000</v>
      </c>
      <c r="I85" s="918"/>
      <c r="J85" s="918"/>
    </row>
    <row r="86" spans="1:10">
      <c r="A86" t="s">
        <v>4220</v>
      </c>
      <c r="B86" s="915" t="s">
        <v>4186</v>
      </c>
      <c r="C86" s="915" t="str">
        <f t="shared" si="1"/>
        <v>5월</v>
      </c>
      <c r="D86" s="916" t="s">
        <v>4187</v>
      </c>
      <c r="E86" s="916"/>
      <c r="F86" s="916" t="s">
        <v>4154</v>
      </c>
      <c r="G86" s="915"/>
      <c r="H86" s="917">
        <v>395760</v>
      </c>
      <c r="I86" s="918"/>
      <c r="J86" s="918"/>
    </row>
    <row r="87" spans="1:10">
      <c r="A87" t="s">
        <v>4765</v>
      </c>
      <c r="B87" s="915" t="s">
        <v>4000</v>
      </c>
      <c r="C87" s="915" t="str">
        <f t="shared" si="1"/>
        <v>12월</v>
      </c>
      <c r="D87" s="916" t="s">
        <v>4750</v>
      </c>
      <c r="E87" s="916" t="s">
        <v>4751</v>
      </c>
      <c r="F87" s="916" t="s">
        <v>4752</v>
      </c>
      <c r="G87" s="915" t="s">
        <v>4753</v>
      </c>
      <c r="H87" s="917">
        <v>385000</v>
      </c>
      <c r="I87" s="918"/>
      <c r="J87" s="918"/>
    </row>
    <row r="88" spans="1:10">
      <c r="A88" t="s">
        <v>4650</v>
      </c>
      <c r="B88" s="915" t="s">
        <v>3667</v>
      </c>
      <c r="C88" s="915" t="str">
        <f t="shared" si="1"/>
        <v>2월</v>
      </c>
      <c r="D88" s="916" t="s">
        <v>4637</v>
      </c>
      <c r="E88" s="916" t="s">
        <v>4638</v>
      </c>
      <c r="F88" s="916" t="s">
        <v>4635</v>
      </c>
      <c r="G88" s="915" t="s">
        <v>4639</v>
      </c>
      <c r="H88" s="917">
        <v>378000</v>
      </c>
      <c r="I88" s="918"/>
      <c r="J88" s="918"/>
    </row>
    <row r="89" spans="1:10">
      <c r="A89" t="s">
        <v>4220</v>
      </c>
      <c r="B89" s="915" t="s">
        <v>3696</v>
      </c>
      <c r="C89" s="915" t="str">
        <f t="shared" si="1"/>
        <v>3월</v>
      </c>
      <c r="D89" s="916" t="s">
        <v>4174</v>
      </c>
      <c r="E89" s="916" t="s">
        <v>4150</v>
      </c>
      <c r="F89" s="916" t="s">
        <v>4151</v>
      </c>
      <c r="G89" s="915" t="s">
        <v>4152</v>
      </c>
      <c r="H89" s="917">
        <v>360940</v>
      </c>
      <c r="I89" s="918"/>
      <c r="J89" s="918"/>
    </row>
    <row r="90" spans="1:10">
      <c r="A90" t="s">
        <v>4765</v>
      </c>
      <c r="B90" s="915" t="s">
        <v>3596</v>
      </c>
      <c r="C90" s="915" t="str">
        <f t="shared" si="1"/>
        <v>2월</v>
      </c>
      <c r="D90" s="916" t="s">
        <v>4680</v>
      </c>
      <c r="E90" s="916" t="s">
        <v>4681</v>
      </c>
      <c r="F90" s="916" t="s">
        <v>4682</v>
      </c>
      <c r="G90" s="915" t="s">
        <v>4683</v>
      </c>
      <c r="H90" s="917">
        <v>350000</v>
      </c>
      <c r="I90" s="918"/>
      <c r="J90" s="917">
        <v>1696700</v>
      </c>
    </row>
    <row r="91" spans="1:10">
      <c r="A91" t="s">
        <v>4765</v>
      </c>
      <c r="B91" s="915" t="s">
        <v>4266</v>
      </c>
      <c r="C91" s="915" t="str">
        <f t="shared" si="1"/>
        <v>7월</v>
      </c>
      <c r="D91" s="916" t="s">
        <v>4720</v>
      </c>
      <c r="E91" s="916" t="s">
        <v>4693</v>
      </c>
      <c r="F91" s="916" t="s">
        <v>4694</v>
      </c>
      <c r="G91" s="915" t="s">
        <v>4695</v>
      </c>
      <c r="H91" s="917">
        <v>350000</v>
      </c>
      <c r="I91" s="918"/>
      <c r="J91" s="917">
        <v>12617580</v>
      </c>
    </row>
    <row r="92" spans="1:10">
      <c r="A92" t="s">
        <v>4765</v>
      </c>
      <c r="B92" s="915" t="s">
        <v>3898</v>
      </c>
      <c r="C92" s="915" t="str">
        <f t="shared" si="1"/>
        <v>10월</v>
      </c>
      <c r="D92" s="916" t="s">
        <v>4739</v>
      </c>
      <c r="E92" s="916" t="s">
        <v>4710</v>
      </c>
      <c r="F92" s="916" t="s">
        <v>4711</v>
      </c>
      <c r="G92" s="915" t="s">
        <v>4712</v>
      </c>
      <c r="H92" s="917">
        <v>350000</v>
      </c>
      <c r="I92" s="918"/>
      <c r="J92" s="918"/>
    </row>
    <row r="93" spans="1:10">
      <c r="A93" t="s">
        <v>4220</v>
      </c>
      <c r="B93" s="915" t="s">
        <v>4167</v>
      </c>
      <c r="C93" s="915" t="str">
        <f t="shared" si="1"/>
        <v>2월</v>
      </c>
      <c r="D93" s="916" t="s">
        <v>4170</v>
      </c>
      <c r="E93" s="916" t="s">
        <v>4150</v>
      </c>
      <c r="F93" s="916" t="s">
        <v>4151</v>
      </c>
      <c r="G93" s="915" t="s">
        <v>4152</v>
      </c>
      <c r="H93" s="917">
        <v>340530</v>
      </c>
      <c r="I93" s="918"/>
      <c r="J93" s="917">
        <v>2010400</v>
      </c>
    </row>
    <row r="94" spans="1:10">
      <c r="A94" t="s">
        <v>3870</v>
      </c>
      <c r="B94" s="915" t="s">
        <v>3624</v>
      </c>
      <c r="C94" s="915" t="str">
        <f t="shared" si="1"/>
        <v>11월</v>
      </c>
      <c r="D94" s="916" t="s">
        <v>3625</v>
      </c>
      <c r="E94" s="916"/>
      <c r="F94" s="916" t="s">
        <v>3626</v>
      </c>
      <c r="G94" s="915"/>
      <c r="H94" s="917">
        <v>338800</v>
      </c>
      <c r="I94" s="918"/>
      <c r="J94" s="918"/>
    </row>
    <row r="95" spans="1:10">
      <c r="A95" t="s">
        <v>4220</v>
      </c>
      <c r="B95" s="915" t="s">
        <v>3932</v>
      </c>
      <c r="C95" s="915" t="str">
        <f t="shared" si="1"/>
        <v>1월</v>
      </c>
      <c r="D95" s="916" t="s">
        <v>4158</v>
      </c>
      <c r="E95" s="916"/>
      <c r="F95" s="916" t="s">
        <v>4156</v>
      </c>
      <c r="G95" s="915"/>
      <c r="H95" s="917">
        <v>337910</v>
      </c>
      <c r="I95" s="918"/>
      <c r="J95" s="917">
        <v>1494530</v>
      </c>
    </row>
    <row r="96" spans="1:10">
      <c r="A96" t="s">
        <v>4064</v>
      </c>
      <c r="B96" s="915" t="s">
        <v>3754</v>
      </c>
      <c r="C96" s="915" t="str">
        <f t="shared" si="1"/>
        <v>6월</v>
      </c>
      <c r="D96" s="916" t="s">
        <v>4042</v>
      </c>
      <c r="E96" s="916"/>
      <c r="F96" s="916" t="s">
        <v>4045</v>
      </c>
      <c r="G96" s="915"/>
      <c r="H96" s="917">
        <v>331300</v>
      </c>
      <c r="I96" s="918"/>
      <c r="J96" s="918"/>
    </row>
    <row r="97" spans="1:10">
      <c r="A97" t="s">
        <v>4220</v>
      </c>
      <c r="B97" s="915" t="s">
        <v>3687</v>
      </c>
      <c r="C97" s="915" t="str">
        <f t="shared" si="1"/>
        <v>2월</v>
      </c>
      <c r="D97" s="916" t="s">
        <v>4158</v>
      </c>
      <c r="E97" s="916" t="s">
        <v>4171</v>
      </c>
      <c r="F97" s="916" t="s">
        <v>4172</v>
      </c>
      <c r="G97" s="915" t="s">
        <v>4173</v>
      </c>
      <c r="H97" s="917">
        <v>312340</v>
      </c>
      <c r="I97" s="918"/>
      <c r="J97" s="918"/>
    </row>
    <row r="98" spans="1:10">
      <c r="A98" t="s">
        <v>4220</v>
      </c>
      <c r="B98" s="915" t="s">
        <v>4052</v>
      </c>
      <c r="C98" s="915" t="str">
        <f t="shared" si="1"/>
        <v>9월</v>
      </c>
      <c r="D98" s="916" t="s">
        <v>4158</v>
      </c>
      <c r="E98" s="916" t="s">
        <v>4171</v>
      </c>
      <c r="F98" s="916" t="s">
        <v>4172</v>
      </c>
      <c r="G98" s="915" t="s">
        <v>4173</v>
      </c>
      <c r="H98" s="917">
        <v>308950</v>
      </c>
      <c r="I98" s="918"/>
      <c r="J98" s="917">
        <v>7503380</v>
      </c>
    </row>
    <row r="99" spans="1:10">
      <c r="A99" t="s">
        <v>4220</v>
      </c>
      <c r="B99" s="915" t="s">
        <v>4205</v>
      </c>
      <c r="C99" s="915" t="str">
        <f t="shared" si="1"/>
        <v>8월</v>
      </c>
      <c r="D99" s="916" t="s">
        <v>4158</v>
      </c>
      <c r="E99" s="916" t="s">
        <v>4171</v>
      </c>
      <c r="F99" s="916" t="s">
        <v>4172</v>
      </c>
      <c r="G99" s="915" t="s">
        <v>4173</v>
      </c>
      <c r="H99" s="917">
        <v>306580</v>
      </c>
      <c r="I99" s="918"/>
      <c r="J99" s="917">
        <v>6687540</v>
      </c>
    </row>
    <row r="100" spans="1:10">
      <c r="A100" t="s">
        <v>3870</v>
      </c>
      <c r="B100" s="915" t="s">
        <v>3621</v>
      </c>
      <c r="C100" s="915" t="str">
        <f t="shared" si="1"/>
        <v>11월</v>
      </c>
      <c r="D100" s="916" t="s">
        <v>3622</v>
      </c>
      <c r="E100" s="916"/>
      <c r="F100" s="916" t="s">
        <v>3623</v>
      </c>
      <c r="G100" s="915"/>
      <c r="H100" s="917">
        <v>302500</v>
      </c>
      <c r="I100" s="918"/>
      <c r="J100" s="917">
        <v>1275110</v>
      </c>
    </row>
    <row r="101" spans="1:10">
      <c r="A101" t="s">
        <v>4765</v>
      </c>
      <c r="B101" s="915" t="s">
        <v>3635</v>
      </c>
      <c r="C101" s="915" t="str">
        <f t="shared" si="1"/>
        <v>1월</v>
      </c>
      <c r="D101" s="916" t="s">
        <v>4658</v>
      </c>
      <c r="E101" s="916" t="s">
        <v>4659</v>
      </c>
      <c r="F101" s="916" t="s">
        <v>4660</v>
      </c>
      <c r="G101" s="915" t="s">
        <v>4661</v>
      </c>
      <c r="H101" s="917">
        <v>300000</v>
      </c>
      <c r="I101" s="918"/>
      <c r="J101" s="917">
        <v>300000</v>
      </c>
    </row>
    <row r="102" spans="1:10">
      <c r="A102" t="s">
        <v>4765</v>
      </c>
      <c r="B102" s="915" t="s">
        <v>4139</v>
      </c>
      <c r="C102" s="915" t="str">
        <f t="shared" si="1"/>
        <v>5월</v>
      </c>
      <c r="D102" s="916" t="s">
        <v>4699</v>
      </c>
      <c r="E102" s="916" t="s">
        <v>4700</v>
      </c>
      <c r="F102" s="916" t="s">
        <v>4701</v>
      </c>
      <c r="G102" s="915" t="s">
        <v>4702</v>
      </c>
      <c r="H102" s="917">
        <v>300000</v>
      </c>
      <c r="I102" s="918"/>
      <c r="J102" s="918"/>
    </row>
    <row r="103" spans="1:10">
      <c r="A103" t="s">
        <v>4765</v>
      </c>
      <c r="B103" s="915" t="s">
        <v>3996</v>
      </c>
      <c r="C103" s="915" t="str">
        <f t="shared" si="1"/>
        <v>11월</v>
      </c>
      <c r="D103" s="916" t="s">
        <v>4747</v>
      </c>
      <c r="E103" s="916" t="s">
        <v>4659</v>
      </c>
      <c r="F103" s="916" t="s">
        <v>4660</v>
      </c>
      <c r="G103" s="915" t="s">
        <v>4661</v>
      </c>
      <c r="H103" s="917">
        <v>300000</v>
      </c>
      <c r="I103" s="918"/>
      <c r="J103" s="917">
        <v>21848580</v>
      </c>
    </row>
    <row r="104" spans="1:10">
      <c r="A104" t="s">
        <v>4220</v>
      </c>
      <c r="B104" s="915" t="s">
        <v>4167</v>
      </c>
      <c r="C104" s="915" t="str">
        <f t="shared" si="1"/>
        <v>2월</v>
      </c>
      <c r="D104" s="916" t="s">
        <v>4168</v>
      </c>
      <c r="E104" s="916" t="s">
        <v>4150</v>
      </c>
      <c r="F104" s="916" t="s">
        <v>4151</v>
      </c>
      <c r="G104" s="915" t="s">
        <v>4152</v>
      </c>
      <c r="H104" s="917">
        <v>295430</v>
      </c>
      <c r="I104" s="918"/>
      <c r="J104" s="918"/>
    </row>
    <row r="105" spans="1:10">
      <c r="A105" t="s">
        <v>4128</v>
      </c>
      <c r="B105" s="915" t="s">
        <v>4124</v>
      </c>
      <c r="C105" s="915" t="str">
        <f t="shared" si="1"/>
        <v>9월</v>
      </c>
      <c r="D105" s="916" t="s">
        <v>4114</v>
      </c>
      <c r="E105" s="916"/>
      <c r="F105" s="916" t="s">
        <v>4112</v>
      </c>
      <c r="G105" s="915"/>
      <c r="H105" s="917">
        <v>294290</v>
      </c>
      <c r="I105" s="918"/>
      <c r="J105" s="917">
        <v>9634940</v>
      </c>
    </row>
    <row r="106" spans="1:10">
      <c r="A106" t="s">
        <v>4220</v>
      </c>
      <c r="B106" s="915" t="s">
        <v>3772</v>
      </c>
      <c r="C106" s="915" t="str">
        <f t="shared" si="1"/>
        <v>7월</v>
      </c>
      <c r="D106" s="916" t="s">
        <v>4194</v>
      </c>
      <c r="E106" s="916"/>
      <c r="F106" s="916" t="s">
        <v>4154</v>
      </c>
      <c r="G106" s="915"/>
      <c r="H106" s="917">
        <v>288360</v>
      </c>
      <c r="I106" s="918"/>
      <c r="J106" s="918"/>
    </row>
    <row r="107" spans="1:10">
      <c r="A107" t="s">
        <v>4220</v>
      </c>
      <c r="B107" s="915" t="s">
        <v>3632</v>
      </c>
      <c r="C107" s="915" t="str">
        <f t="shared" si="1"/>
        <v>1월</v>
      </c>
      <c r="D107" s="916" t="s">
        <v>4149</v>
      </c>
      <c r="E107" s="916" t="s">
        <v>4150</v>
      </c>
      <c r="F107" s="916" t="s">
        <v>4151</v>
      </c>
      <c r="G107" s="915" t="s">
        <v>4152</v>
      </c>
      <c r="H107" s="917">
        <v>280350</v>
      </c>
      <c r="I107" s="918"/>
      <c r="J107" s="918"/>
    </row>
    <row r="108" spans="1:10">
      <c r="A108" t="s">
        <v>4128</v>
      </c>
      <c r="B108" s="915" t="s">
        <v>4113</v>
      </c>
      <c r="C108" s="915" t="str">
        <f t="shared" si="1"/>
        <v>3월</v>
      </c>
      <c r="D108" s="916" t="s">
        <v>4114</v>
      </c>
      <c r="E108" s="916"/>
      <c r="F108" s="916" t="s">
        <v>4112</v>
      </c>
      <c r="G108" s="915"/>
      <c r="H108" s="917">
        <v>280250</v>
      </c>
      <c r="I108" s="918"/>
      <c r="J108" s="917">
        <v>298250</v>
      </c>
    </row>
    <row r="109" spans="1:10">
      <c r="A109" t="s">
        <v>3870</v>
      </c>
      <c r="B109" s="915" t="s">
        <v>3613</v>
      </c>
      <c r="C109" s="915" t="str">
        <f t="shared" si="1"/>
        <v>6월</v>
      </c>
      <c r="D109" s="916" t="s">
        <v>3614</v>
      </c>
      <c r="E109" s="916"/>
      <c r="F109" s="916" t="s">
        <v>3615</v>
      </c>
      <c r="G109" s="915"/>
      <c r="H109" s="917">
        <v>279950</v>
      </c>
      <c r="I109" s="918"/>
      <c r="J109" s="917">
        <v>755780</v>
      </c>
    </row>
    <row r="110" spans="1:10">
      <c r="A110" t="s">
        <v>4220</v>
      </c>
      <c r="B110" s="915" t="s">
        <v>3696</v>
      </c>
      <c r="C110" s="915" t="str">
        <f t="shared" si="1"/>
        <v>3월</v>
      </c>
      <c r="D110" s="916" t="s">
        <v>4175</v>
      </c>
      <c r="E110" s="916" t="s">
        <v>4150</v>
      </c>
      <c r="F110" s="916" t="s">
        <v>4151</v>
      </c>
      <c r="G110" s="915" t="s">
        <v>4152</v>
      </c>
      <c r="H110" s="917">
        <v>274060</v>
      </c>
      <c r="I110" s="918"/>
      <c r="J110" s="917">
        <v>3058440</v>
      </c>
    </row>
    <row r="111" spans="1:10">
      <c r="A111" t="s">
        <v>4765</v>
      </c>
      <c r="B111" s="915" t="s">
        <v>4334</v>
      </c>
      <c r="C111" s="915" t="str">
        <f t="shared" si="1"/>
        <v>5월</v>
      </c>
      <c r="D111" s="916" t="s">
        <v>4688</v>
      </c>
      <c r="E111" s="916" t="s">
        <v>4689</v>
      </c>
      <c r="F111" s="916" t="s">
        <v>4690</v>
      </c>
      <c r="G111" s="915" t="s">
        <v>4691</v>
      </c>
      <c r="H111" s="917">
        <v>270000</v>
      </c>
      <c r="I111" s="918"/>
      <c r="J111" s="918"/>
    </row>
    <row r="112" spans="1:10">
      <c r="A112" t="s">
        <v>3871</v>
      </c>
      <c r="B112" s="915" t="s">
        <v>3717</v>
      </c>
      <c r="C112" s="915" t="str">
        <f t="shared" si="1"/>
        <v>4월</v>
      </c>
      <c r="D112" s="916" t="s">
        <v>3718</v>
      </c>
      <c r="E112" s="916"/>
      <c r="F112" s="916" t="s">
        <v>3626</v>
      </c>
      <c r="G112" s="915"/>
      <c r="H112" s="917">
        <v>264000</v>
      </c>
      <c r="I112" s="918"/>
      <c r="J112" s="917">
        <v>-1462190</v>
      </c>
    </row>
    <row r="113" spans="1:10">
      <c r="A113" t="s">
        <v>4010</v>
      </c>
      <c r="B113" s="915" t="s">
        <v>3604</v>
      </c>
      <c r="C113" s="915" t="str">
        <f t="shared" si="1"/>
        <v>2월</v>
      </c>
      <c r="D113" s="916" t="s">
        <v>3935</v>
      </c>
      <c r="E113" s="916"/>
      <c r="F113" s="916" t="s">
        <v>3936</v>
      </c>
      <c r="G113" s="915"/>
      <c r="H113" s="917">
        <v>261000</v>
      </c>
      <c r="I113" s="918"/>
      <c r="J113" s="918"/>
    </row>
    <row r="114" spans="1:10">
      <c r="A114" t="s">
        <v>4220</v>
      </c>
      <c r="B114" s="915" t="s">
        <v>4143</v>
      </c>
      <c r="C114" s="915" t="str">
        <f t="shared" si="1"/>
        <v>9월</v>
      </c>
      <c r="D114" s="916" t="s">
        <v>4206</v>
      </c>
      <c r="E114" s="916"/>
      <c r="F114" s="916" t="s">
        <v>4154</v>
      </c>
      <c r="G114" s="915"/>
      <c r="H114" s="917">
        <v>260820</v>
      </c>
      <c r="I114" s="918"/>
      <c r="J114" s="917">
        <v>6948360</v>
      </c>
    </row>
    <row r="115" spans="1:10">
      <c r="A115" t="s">
        <v>4650</v>
      </c>
      <c r="B115" s="915" t="s">
        <v>3680</v>
      </c>
      <c r="C115" s="915" t="str">
        <f t="shared" si="1"/>
        <v>2월</v>
      </c>
      <c r="D115" s="916" t="s">
        <v>4641</v>
      </c>
      <c r="E115" s="916"/>
      <c r="F115" s="916" t="s">
        <v>4642</v>
      </c>
      <c r="G115" s="915"/>
      <c r="H115" s="917">
        <v>260000</v>
      </c>
      <c r="I115" s="918"/>
      <c r="J115" s="918"/>
    </row>
    <row r="116" spans="1:10">
      <c r="A116" t="s">
        <v>4765</v>
      </c>
      <c r="B116" s="915" t="s">
        <v>3835</v>
      </c>
      <c r="C116" s="915" t="str">
        <f t="shared" si="1"/>
        <v>11월</v>
      </c>
      <c r="D116" s="916" t="s">
        <v>4743</v>
      </c>
      <c r="E116" s="916"/>
      <c r="F116" s="916" t="s">
        <v>4744</v>
      </c>
      <c r="G116" s="915"/>
      <c r="H116" s="917">
        <v>250000</v>
      </c>
      <c r="I116" s="918"/>
      <c r="J116" s="917">
        <v>21256580</v>
      </c>
    </row>
    <row r="117" spans="1:10">
      <c r="A117" t="s">
        <v>3871</v>
      </c>
      <c r="B117" s="915" t="s">
        <v>3706</v>
      </c>
      <c r="C117" s="915" t="str">
        <f t="shared" si="1"/>
        <v>3월</v>
      </c>
      <c r="D117" s="916" t="s">
        <v>3641</v>
      </c>
      <c r="E117" s="916"/>
      <c r="F117" s="916" t="s">
        <v>3707</v>
      </c>
      <c r="G117" s="915"/>
      <c r="H117" s="917">
        <v>249700</v>
      </c>
      <c r="I117" s="918"/>
      <c r="J117" s="917">
        <v>2131210</v>
      </c>
    </row>
    <row r="118" spans="1:10">
      <c r="A118" t="s">
        <v>4220</v>
      </c>
      <c r="B118" s="915" t="s">
        <v>4181</v>
      </c>
      <c r="C118" s="915" t="str">
        <f t="shared" si="1"/>
        <v>4월</v>
      </c>
      <c r="D118" s="916" t="s">
        <v>4182</v>
      </c>
      <c r="E118" s="916" t="s">
        <v>4150</v>
      </c>
      <c r="F118" s="916" t="s">
        <v>4151</v>
      </c>
      <c r="G118" s="915" t="s">
        <v>4152</v>
      </c>
      <c r="H118" s="917">
        <v>249000</v>
      </c>
      <c r="I118" s="918"/>
      <c r="J118" s="918"/>
    </row>
    <row r="119" spans="1:10">
      <c r="A119" t="s">
        <v>3870</v>
      </c>
      <c r="B119" s="915" t="s">
        <v>3604</v>
      </c>
      <c r="C119" s="915" t="str">
        <f t="shared" si="1"/>
        <v>2월</v>
      </c>
      <c r="D119" s="916" t="s">
        <v>3605</v>
      </c>
      <c r="E119" s="916"/>
      <c r="F119" s="916" t="s">
        <v>3606</v>
      </c>
      <c r="G119" s="915"/>
      <c r="H119" s="917">
        <v>247500</v>
      </c>
      <c r="I119" s="918"/>
      <c r="J119" s="918"/>
    </row>
    <row r="120" spans="1:10">
      <c r="A120" t="s">
        <v>4220</v>
      </c>
      <c r="B120" s="915" t="s">
        <v>3706</v>
      </c>
      <c r="C120" s="915" t="str">
        <f t="shared" si="1"/>
        <v>3월</v>
      </c>
      <c r="D120" s="916" t="s">
        <v>4158</v>
      </c>
      <c r="E120" s="916" t="s">
        <v>4171</v>
      </c>
      <c r="F120" s="916" t="s">
        <v>4172</v>
      </c>
      <c r="G120" s="915" t="s">
        <v>4173</v>
      </c>
      <c r="H120" s="917">
        <v>246460</v>
      </c>
      <c r="I120" s="918"/>
      <c r="J120" s="917">
        <v>3807530</v>
      </c>
    </row>
    <row r="121" spans="1:10">
      <c r="A121" t="s">
        <v>4220</v>
      </c>
      <c r="B121" s="915" t="s">
        <v>3772</v>
      </c>
      <c r="C121" s="915" t="str">
        <f t="shared" si="1"/>
        <v>7월</v>
      </c>
      <c r="D121" s="916" t="s">
        <v>4158</v>
      </c>
      <c r="E121" s="916" t="s">
        <v>4171</v>
      </c>
      <c r="F121" s="916" t="s">
        <v>4172</v>
      </c>
      <c r="G121" s="915" t="s">
        <v>4173</v>
      </c>
      <c r="H121" s="917">
        <v>242210</v>
      </c>
      <c r="I121" s="918"/>
      <c r="J121" s="918"/>
    </row>
    <row r="122" spans="1:10">
      <c r="A122" t="s">
        <v>4765</v>
      </c>
      <c r="B122" s="915" t="s">
        <v>4567</v>
      </c>
      <c r="C122" s="915" t="str">
        <f t="shared" si="1"/>
        <v>11월</v>
      </c>
      <c r="D122" s="916" t="s">
        <v>4745</v>
      </c>
      <c r="E122" s="916"/>
      <c r="F122" s="916" t="s">
        <v>4746</v>
      </c>
      <c r="G122" s="915"/>
      <c r="H122" s="917">
        <v>240000</v>
      </c>
      <c r="I122" s="918"/>
      <c r="J122" s="917">
        <v>21496580</v>
      </c>
    </row>
    <row r="123" spans="1:10">
      <c r="A123" t="s">
        <v>4010</v>
      </c>
      <c r="B123" s="915" t="s">
        <v>3604</v>
      </c>
      <c r="C123" s="915" t="str">
        <f t="shared" si="1"/>
        <v>2월</v>
      </c>
      <c r="D123" s="916" t="s">
        <v>3935</v>
      </c>
      <c r="E123" s="916"/>
      <c r="F123" s="916" t="s">
        <v>3731</v>
      </c>
      <c r="G123" s="915"/>
      <c r="H123" s="917">
        <v>237400</v>
      </c>
      <c r="I123" s="918"/>
      <c r="J123" s="917">
        <v>2619600</v>
      </c>
    </row>
    <row r="124" spans="1:10">
      <c r="A124" t="s">
        <v>4765</v>
      </c>
      <c r="B124" s="915" t="s">
        <v>3649</v>
      </c>
      <c r="C124" s="915" t="str">
        <f t="shared" si="1"/>
        <v>1월</v>
      </c>
      <c r="D124" s="916" t="s">
        <v>4676</v>
      </c>
      <c r="E124" s="916" t="s">
        <v>4677</v>
      </c>
      <c r="F124" s="916" t="s">
        <v>4678</v>
      </c>
      <c r="G124" s="915" t="s">
        <v>4679</v>
      </c>
      <c r="H124" s="917">
        <v>235000</v>
      </c>
      <c r="I124" s="918"/>
      <c r="J124" s="917">
        <v>1346700</v>
      </c>
    </row>
    <row r="125" spans="1:10">
      <c r="A125" t="s">
        <v>4765</v>
      </c>
      <c r="B125" s="915" t="s">
        <v>3687</v>
      </c>
      <c r="C125" s="915" t="str">
        <f t="shared" si="1"/>
        <v>2월</v>
      </c>
      <c r="D125" s="916" t="s">
        <v>4676</v>
      </c>
      <c r="E125" s="916" t="s">
        <v>4677</v>
      </c>
      <c r="F125" s="916" t="s">
        <v>4678</v>
      </c>
      <c r="G125" s="915" t="s">
        <v>4679</v>
      </c>
      <c r="H125" s="917">
        <v>235000</v>
      </c>
      <c r="I125" s="918"/>
      <c r="J125" s="917">
        <v>2703700</v>
      </c>
    </row>
    <row r="126" spans="1:10">
      <c r="A126" t="s">
        <v>4765</v>
      </c>
      <c r="B126" s="915" t="s">
        <v>4177</v>
      </c>
      <c r="C126" s="915" t="str">
        <f t="shared" si="1"/>
        <v>3월</v>
      </c>
      <c r="D126" s="916" t="s">
        <v>4676</v>
      </c>
      <c r="E126" s="916" t="s">
        <v>4677</v>
      </c>
      <c r="F126" s="916" t="s">
        <v>4678</v>
      </c>
      <c r="G126" s="915" t="s">
        <v>4679</v>
      </c>
      <c r="H126" s="917">
        <v>235000</v>
      </c>
      <c r="I126" s="918"/>
      <c r="J126" s="917">
        <v>3782700</v>
      </c>
    </row>
    <row r="127" spans="1:10">
      <c r="A127" t="s">
        <v>4765</v>
      </c>
      <c r="B127" s="915" t="s">
        <v>4456</v>
      </c>
      <c r="C127" s="915" t="str">
        <f t="shared" si="1"/>
        <v>5월</v>
      </c>
      <c r="D127" s="916" t="s">
        <v>4676</v>
      </c>
      <c r="E127" s="916" t="s">
        <v>4677</v>
      </c>
      <c r="F127" s="916" t="s">
        <v>4678</v>
      </c>
      <c r="G127" s="915" t="s">
        <v>4679</v>
      </c>
      <c r="H127" s="917">
        <v>235000</v>
      </c>
      <c r="I127" s="918"/>
      <c r="J127" s="917">
        <v>4826700</v>
      </c>
    </row>
    <row r="128" spans="1:10">
      <c r="A128" t="s">
        <v>4765</v>
      </c>
      <c r="B128" s="915" t="s">
        <v>3747</v>
      </c>
      <c r="C128" s="915" t="str">
        <f t="shared" si="1"/>
        <v>5월</v>
      </c>
      <c r="D128" s="916" t="s">
        <v>4676</v>
      </c>
      <c r="E128" s="916" t="s">
        <v>4677</v>
      </c>
      <c r="F128" s="916" t="s">
        <v>4678</v>
      </c>
      <c r="G128" s="915" t="s">
        <v>4679</v>
      </c>
      <c r="H128" s="917">
        <v>235000</v>
      </c>
      <c r="I128" s="918"/>
      <c r="J128" s="917">
        <v>7155780</v>
      </c>
    </row>
    <row r="129" spans="1:10">
      <c r="A129" t="s">
        <v>4765</v>
      </c>
      <c r="B129" s="915" t="s">
        <v>3613</v>
      </c>
      <c r="C129" s="915" t="str">
        <f t="shared" si="1"/>
        <v>6월</v>
      </c>
      <c r="D129" s="916" t="s">
        <v>4676</v>
      </c>
      <c r="E129" s="916" t="s">
        <v>4677</v>
      </c>
      <c r="F129" s="916" t="s">
        <v>4678</v>
      </c>
      <c r="G129" s="915" t="s">
        <v>4679</v>
      </c>
      <c r="H129" s="917">
        <v>235000</v>
      </c>
      <c r="I129" s="918"/>
      <c r="J129" s="917">
        <v>11962780</v>
      </c>
    </row>
    <row r="130" spans="1:10">
      <c r="A130" t="s">
        <v>4765</v>
      </c>
      <c r="B130" s="915" t="s">
        <v>4200</v>
      </c>
      <c r="C130" s="915" t="str">
        <f t="shared" ref="C130:C193" si="2">MONTH(B130)&amp;"월"</f>
        <v>8월</v>
      </c>
      <c r="D130" s="916" t="s">
        <v>4676</v>
      </c>
      <c r="E130" s="916" t="s">
        <v>4677</v>
      </c>
      <c r="F130" s="916" t="s">
        <v>4678</v>
      </c>
      <c r="G130" s="915" t="s">
        <v>4679</v>
      </c>
      <c r="H130" s="917">
        <v>235000</v>
      </c>
      <c r="I130" s="918"/>
      <c r="J130" s="917">
        <v>15554580</v>
      </c>
    </row>
    <row r="131" spans="1:10">
      <c r="A131" t="s">
        <v>4765</v>
      </c>
      <c r="B131" s="915" t="s">
        <v>4532</v>
      </c>
      <c r="C131" s="915" t="str">
        <f t="shared" si="2"/>
        <v>8월</v>
      </c>
      <c r="D131" s="916" t="s">
        <v>4676</v>
      </c>
      <c r="E131" s="916" t="s">
        <v>4677</v>
      </c>
      <c r="F131" s="916" t="s">
        <v>4678</v>
      </c>
      <c r="G131" s="915" t="s">
        <v>4679</v>
      </c>
      <c r="H131" s="917">
        <v>235000</v>
      </c>
      <c r="I131" s="918"/>
      <c r="J131" s="917">
        <v>17291580</v>
      </c>
    </row>
    <row r="132" spans="1:10">
      <c r="A132" t="s">
        <v>4765</v>
      </c>
      <c r="B132" s="915" t="s">
        <v>4207</v>
      </c>
      <c r="C132" s="915" t="str">
        <f t="shared" si="2"/>
        <v>9월</v>
      </c>
      <c r="D132" s="916" t="s">
        <v>4676</v>
      </c>
      <c r="E132" s="916" t="s">
        <v>4677</v>
      </c>
      <c r="F132" s="916" t="s">
        <v>4678</v>
      </c>
      <c r="G132" s="915" t="s">
        <v>4679</v>
      </c>
      <c r="H132" s="917">
        <v>235000</v>
      </c>
      <c r="I132" s="918"/>
      <c r="J132" s="917">
        <v>19071580</v>
      </c>
    </row>
    <row r="133" spans="1:10">
      <c r="A133" t="s">
        <v>4765</v>
      </c>
      <c r="B133" s="915" t="s">
        <v>3824</v>
      </c>
      <c r="C133" s="915" t="str">
        <f t="shared" si="2"/>
        <v>10월</v>
      </c>
      <c r="D133" s="916" t="s">
        <v>4676</v>
      </c>
      <c r="E133" s="916" t="s">
        <v>4677</v>
      </c>
      <c r="F133" s="916" t="s">
        <v>4678</v>
      </c>
      <c r="G133" s="915" t="s">
        <v>4679</v>
      </c>
      <c r="H133" s="917">
        <v>235000</v>
      </c>
      <c r="I133" s="918"/>
      <c r="J133" s="917">
        <v>20906580</v>
      </c>
    </row>
    <row r="134" spans="1:10">
      <c r="A134" t="s">
        <v>4765</v>
      </c>
      <c r="B134" s="915" t="s">
        <v>3841</v>
      </c>
      <c r="C134" s="915" t="str">
        <f t="shared" si="2"/>
        <v>11월</v>
      </c>
      <c r="D134" s="916" t="s">
        <v>4676</v>
      </c>
      <c r="E134" s="916" t="s">
        <v>4677</v>
      </c>
      <c r="F134" s="916" t="s">
        <v>4678</v>
      </c>
      <c r="G134" s="915" t="s">
        <v>4679</v>
      </c>
      <c r="H134" s="917">
        <v>235000</v>
      </c>
      <c r="I134" s="918"/>
      <c r="J134" s="917">
        <v>23244380</v>
      </c>
    </row>
    <row r="135" spans="1:10">
      <c r="A135" t="s">
        <v>4765</v>
      </c>
      <c r="B135" s="915" t="s">
        <v>3629</v>
      </c>
      <c r="C135" s="915" t="str">
        <f t="shared" si="2"/>
        <v>12월</v>
      </c>
      <c r="D135" s="916" t="s">
        <v>4676</v>
      </c>
      <c r="E135" s="916" t="s">
        <v>4677</v>
      </c>
      <c r="F135" s="916" t="s">
        <v>4678</v>
      </c>
      <c r="G135" s="915" t="s">
        <v>4679</v>
      </c>
      <c r="H135" s="917">
        <v>235000</v>
      </c>
      <c r="I135" s="918"/>
      <c r="J135" s="918"/>
    </row>
    <row r="136" spans="1:10">
      <c r="A136" t="s">
        <v>4220</v>
      </c>
      <c r="B136" s="915" t="s">
        <v>4219</v>
      </c>
      <c r="C136" s="915" t="str">
        <f t="shared" si="2"/>
        <v>12월</v>
      </c>
      <c r="D136" s="916" t="s">
        <v>4158</v>
      </c>
      <c r="E136" s="916" t="s">
        <v>4171</v>
      </c>
      <c r="F136" s="916" t="s">
        <v>4172</v>
      </c>
      <c r="G136" s="915" t="s">
        <v>4173</v>
      </c>
      <c r="H136" s="917">
        <v>231030</v>
      </c>
      <c r="I136" s="918"/>
      <c r="J136" s="918"/>
    </row>
    <row r="137" spans="1:10">
      <c r="A137" t="s">
        <v>4220</v>
      </c>
      <c r="B137" s="915" t="s">
        <v>3735</v>
      </c>
      <c r="C137" s="915" t="str">
        <f t="shared" si="2"/>
        <v>5월</v>
      </c>
      <c r="D137" s="916" t="s">
        <v>4184</v>
      </c>
      <c r="E137" s="916" t="s">
        <v>4150</v>
      </c>
      <c r="F137" s="916" t="s">
        <v>4151</v>
      </c>
      <c r="G137" s="915" t="s">
        <v>4152</v>
      </c>
      <c r="H137" s="917">
        <v>229300</v>
      </c>
      <c r="I137" s="918"/>
      <c r="J137" s="918"/>
    </row>
    <row r="138" spans="1:10">
      <c r="A138" t="s">
        <v>4765</v>
      </c>
      <c r="B138" s="915" t="s">
        <v>3747</v>
      </c>
      <c r="C138" s="915" t="str">
        <f t="shared" si="2"/>
        <v>5월</v>
      </c>
      <c r="D138" s="916" t="s">
        <v>4704</v>
      </c>
      <c r="E138" s="916" t="s">
        <v>4705</v>
      </c>
      <c r="F138" s="916" t="s">
        <v>4706</v>
      </c>
      <c r="G138" s="915" t="s">
        <v>4707</v>
      </c>
      <c r="H138" s="917">
        <v>222580</v>
      </c>
      <c r="I138" s="918"/>
      <c r="J138" s="918"/>
    </row>
    <row r="139" spans="1:10">
      <c r="A139" t="s">
        <v>4597</v>
      </c>
      <c r="B139" s="915" t="s">
        <v>3700</v>
      </c>
      <c r="C139" s="915" t="str">
        <f t="shared" si="2"/>
        <v>3월</v>
      </c>
      <c r="D139" s="916" t="s">
        <v>4429</v>
      </c>
      <c r="E139" s="916" t="s">
        <v>4430</v>
      </c>
      <c r="F139" s="916" t="s">
        <v>4431</v>
      </c>
      <c r="G139" s="915" t="s">
        <v>4432</v>
      </c>
      <c r="H139" s="917">
        <v>220000</v>
      </c>
      <c r="I139" s="918"/>
      <c r="J139" s="918"/>
    </row>
    <row r="140" spans="1:10">
      <c r="A140" t="s">
        <v>4010</v>
      </c>
      <c r="B140" s="915" t="s">
        <v>3332</v>
      </c>
      <c r="C140" s="915" t="str">
        <f t="shared" si="2"/>
        <v>12월</v>
      </c>
      <c r="D140" s="916" t="s">
        <v>4007</v>
      </c>
      <c r="E140" s="916"/>
      <c r="F140" s="916" t="s">
        <v>3679</v>
      </c>
      <c r="G140" s="915"/>
      <c r="H140" s="917">
        <v>219000</v>
      </c>
      <c r="I140" s="918"/>
      <c r="J140" s="918"/>
    </row>
    <row r="141" spans="1:10">
      <c r="A141" t="s">
        <v>4292</v>
      </c>
      <c r="B141" s="915" t="s">
        <v>4215</v>
      </c>
      <c r="C141" s="915" t="str">
        <f t="shared" si="2"/>
        <v>12월</v>
      </c>
      <c r="D141" s="916" t="s">
        <v>4223</v>
      </c>
      <c r="E141" s="916" t="s">
        <v>4224</v>
      </c>
      <c r="F141" s="916" t="s">
        <v>4225</v>
      </c>
      <c r="G141" s="915" t="s">
        <v>4226</v>
      </c>
      <c r="H141" s="917">
        <v>218240</v>
      </c>
      <c r="I141" s="918"/>
      <c r="J141" s="917">
        <v>1721850</v>
      </c>
    </row>
    <row r="142" spans="1:10">
      <c r="A142" t="s">
        <v>4597</v>
      </c>
      <c r="B142" s="915" t="s">
        <v>3754</v>
      </c>
      <c r="C142" s="915" t="str">
        <f t="shared" si="2"/>
        <v>6월</v>
      </c>
      <c r="D142" s="916" t="s">
        <v>4395</v>
      </c>
      <c r="E142" s="916" t="s">
        <v>4365</v>
      </c>
      <c r="F142" s="916" t="s">
        <v>4366</v>
      </c>
      <c r="G142" s="915"/>
      <c r="H142" s="917">
        <v>218100</v>
      </c>
      <c r="I142" s="918"/>
      <c r="J142" s="917">
        <v>16623567</v>
      </c>
    </row>
    <row r="143" spans="1:10">
      <c r="A143" t="s">
        <v>4597</v>
      </c>
      <c r="B143" s="915" t="s">
        <v>3643</v>
      </c>
      <c r="C143" s="915" t="str">
        <f t="shared" si="2"/>
        <v>1월</v>
      </c>
      <c r="D143" s="916" t="s">
        <v>4395</v>
      </c>
      <c r="E143" s="916" t="s">
        <v>4365</v>
      </c>
      <c r="F143" s="916" t="s">
        <v>4366</v>
      </c>
      <c r="G143" s="915"/>
      <c r="H143" s="917">
        <v>216760</v>
      </c>
      <c r="I143" s="918"/>
      <c r="J143" s="917">
        <v>837149</v>
      </c>
    </row>
    <row r="144" spans="1:10">
      <c r="A144" t="s">
        <v>4597</v>
      </c>
      <c r="B144" s="915" t="s">
        <v>3687</v>
      </c>
      <c r="C144" s="915" t="str">
        <f t="shared" si="2"/>
        <v>2월</v>
      </c>
      <c r="D144" s="916" t="s">
        <v>4395</v>
      </c>
      <c r="E144" s="916" t="s">
        <v>4365</v>
      </c>
      <c r="F144" s="916" t="s">
        <v>4366</v>
      </c>
      <c r="G144" s="915"/>
      <c r="H144" s="917">
        <v>214720</v>
      </c>
      <c r="I144" s="918"/>
      <c r="J144" s="917">
        <v>1500228</v>
      </c>
    </row>
    <row r="145" spans="1:10">
      <c r="A145" t="s">
        <v>4650</v>
      </c>
      <c r="B145" s="915" t="s">
        <v>3635</v>
      </c>
      <c r="C145" s="915" t="str">
        <f t="shared" si="2"/>
        <v>1월</v>
      </c>
      <c r="D145" s="916" t="s">
        <v>4631</v>
      </c>
      <c r="E145" s="916" t="s">
        <v>4632</v>
      </c>
      <c r="F145" s="916" t="s">
        <v>4633</v>
      </c>
      <c r="G145" s="915" t="s">
        <v>4634</v>
      </c>
      <c r="H145" s="917">
        <v>213400</v>
      </c>
      <c r="I145" s="918"/>
      <c r="J145" s="918"/>
    </row>
    <row r="146" spans="1:10" ht="22.5">
      <c r="A146" t="s">
        <v>4292</v>
      </c>
      <c r="B146" s="915" t="s">
        <v>3872</v>
      </c>
      <c r="C146" s="915" t="str">
        <f t="shared" si="2"/>
        <v>1월</v>
      </c>
      <c r="D146" s="916" t="s">
        <v>4227</v>
      </c>
      <c r="E146" s="916"/>
      <c r="F146" s="916" t="s">
        <v>4228</v>
      </c>
      <c r="G146" s="915"/>
      <c r="H146" s="917">
        <v>212340</v>
      </c>
      <c r="I146" s="918"/>
      <c r="J146" s="917">
        <v>372310</v>
      </c>
    </row>
    <row r="147" spans="1:10">
      <c r="A147" t="s">
        <v>4597</v>
      </c>
      <c r="B147" s="915" t="s">
        <v>3739</v>
      </c>
      <c r="C147" s="915" t="str">
        <f t="shared" si="2"/>
        <v>5월</v>
      </c>
      <c r="D147" s="916" t="s">
        <v>4395</v>
      </c>
      <c r="E147" s="916" t="s">
        <v>4365</v>
      </c>
      <c r="F147" s="916" t="s">
        <v>4366</v>
      </c>
      <c r="G147" s="915"/>
      <c r="H147" s="917">
        <v>210840</v>
      </c>
      <c r="I147" s="918"/>
      <c r="J147" s="917">
        <v>15853340</v>
      </c>
    </row>
    <row r="148" spans="1:10">
      <c r="A148" t="s">
        <v>4597</v>
      </c>
      <c r="B148" s="915" t="s">
        <v>3706</v>
      </c>
      <c r="C148" s="915" t="str">
        <f t="shared" si="2"/>
        <v>3월</v>
      </c>
      <c r="D148" s="916" t="s">
        <v>4395</v>
      </c>
      <c r="E148" s="916" t="s">
        <v>4365</v>
      </c>
      <c r="F148" s="916" t="s">
        <v>4366</v>
      </c>
      <c r="G148" s="915"/>
      <c r="H148" s="917">
        <v>209700</v>
      </c>
      <c r="I148" s="918"/>
      <c r="J148" s="917">
        <v>2521147</v>
      </c>
    </row>
    <row r="149" spans="1:10">
      <c r="A149" t="s">
        <v>4597</v>
      </c>
      <c r="B149" s="915" t="s">
        <v>3700</v>
      </c>
      <c r="C149" s="915" t="str">
        <f t="shared" si="2"/>
        <v>3월</v>
      </c>
      <c r="D149" s="916" t="s">
        <v>4429</v>
      </c>
      <c r="E149" s="916" t="s">
        <v>4430</v>
      </c>
      <c r="F149" s="916" t="s">
        <v>4431</v>
      </c>
      <c r="G149" s="915" t="s">
        <v>4432</v>
      </c>
      <c r="H149" s="917">
        <v>209600</v>
      </c>
      <c r="I149" s="918"/>
      <c r="J149" s="918"/>
    </row>
    <row r="150" spans="1:10">
      <c r="A150" t="s">
        <v>4220</v>
      </c>
      <c r="B150" s="915" t="s">
        <v>3720</v>
      </c>
      <c r="C150" s="915" t="str">
        <f t="shared" si="2"/>
        <v>4월</v>
      </c>
      <c r="D150" s="916" t="s">
        <v>4158</v>
      </c>
      <c r="E150" s="916" t="s">
        <v>4171</v>
      </c>
      <c r="F150" s="916" t="s">
        <v>4172</v>
      </c>
      <c r="G150" s="915" t="s">
        <v>4173</v>
      </c>
      <c r="H150" s="917">
        <v>208630</v>
      </c>
      <c r="I150" s="918"/>
      <c r="J150" s="917">
        <v>4287900</v>
      </c>
    </row>
    <row r="151" spans="1:10">
      <c r="A151" t="s">
        <v>4597</v>
      </c>
      <c r="B151" s="915" t="s">
        <v>4454</v>
      </c>
      <c r="C151" s="915" t="str">
        <f t="shared" si="2"/>
        <v>4월</v>
      </c>
      <c r="D151" s="916" t="s">
        <v>4395</v>
      </c>
      <c r="E151" s="916" t="s">
        <v>4365</v>
      </c>
      <c r="F151" s="916" t="s">
        <v>4366</v>
      </c>
      <c r="G151" s="915"/>
      <c r="H151" s="917">
        <v>208300</v>
      </c>
      <c r="I151" s="918"/>
      <c r="J151" s="917">
        <v>12047116</v>
      </c>
    </row>
    <row r="152" spans="1:10">
      <c r="A152" t="s">
        <v>4597</v>
      </c>
      <c r="B152" s="915" t="s">
        <v>3774</v>
      </c>
      <c r="C152" s="915" t="str">
        <f t="shared" si="2"/>
        <v>7월</v>
      </c>
      <c r="D152" s="916" t="s">
        <v>4395</v>
      </c>
      <c r="E152" s="916" t="s">
        <v>4365</v>
      </c>
      <c r="F152" s="916" t="s">
        <v>4366</v>
      </c>
      <c r="G152" s="915"/>
      <c r="H152" s="917">
        <v>207240</v>
      </c>
      <c r="I152" s="918"/>
      <c r="J152" s="917">
        <v>17704083</v>
      </c>
    </row>
    <row r="153" spans="1:10">
      <c r="A153" t="s">
        <v>4597</v>
      </c>
      <c r="B153" s="915" t="s">
        <v>3779</v>
      </c>
      <c r="C153" s="915" t="str">
        <f t="shared" si="2"/>
        <v>8월</v>
      </c>
      <c r="D153" s="916" t="s">
        <v>4395</v>
      </c>
      <c r="E153" s="916" t="s">
        <v>4365</v>
      </c>
      <c r="F153" s="916" t="s">
        <v>4366</v>
      </c>
      <c r="G153" s="915"/>
      <c r="H153" s="917">
        <v>206200</v>
      </c>
      <c r="I153" s="918"/>
      <c r="J153" s="917">
        <v>18297261</v>
      </c>
    </row>
    <row r="154" spans="1:10">
      <c r="A154" t="s">
        <v>4597</v>
      </c>
      <c r="B154" s="915" t="s">
        <v>4549</v>
      </c>
      <c r="C154" s="915" t="str">
        <f t="shared" si="2"/>
        <v>10월</v>
      </c>
      <c r="D154" s="916" t="s">
        <v>4395</v>
      </c>
      <c r="E154" s="916" t="s">
        <v>4365</v>
      </c>
      <c r="F154" s="916" t="s">
        <v>4366</v>
      </c>
      <c r="G154" s="915"/>
      <c r="H154" s="917">
        <v>206200</v>
      </c>
      <c r="I154" s="918"/>
      <c r="J154" s="918"/>
    </row>
    <row r="155" spans="1:10">
      <c r="A155" t="s">
        <v>4597</v>
      </c>
      <c r="B155" s="915" t="s">
        <v>4277</v>
      </c>
      <c r="C155" s="915" t="str">
        <f t="shared" si="2"/>
        <v>9월</v>
      </c>
      <c r="D155" s="916" t="s">
        <v>4395</v>
      </c>
      <c r="E155" s="916" t="s">
        <v>4365</v>
      </c>
      <c r="F155" s="916" t="s">
        <v>4366</v>
      </c>
      <c r="G155" s="915"/>
      <c r="H155" s="917">
        <v>205320</v>
      </c>
      <c r="I155" s="918"/>
      <c r="J155" s="917">
        <v>18836934</v>
      </c>
    </row>
    <row r="156" spans="1:10">
      <c r="A156" t="s">
        <v>4597</v>
      </c>
      <c r="B156" s="915" t="s">
        <v>4287</v>
      </c>
      <c r="C156" s="915" t="str">
        <f t="shared" si="2"/>
        <v>11월</v>
      </c>
      <c r="D156" s="916" t="s">
        <v>4395</v>
      </c>
      <c r="E156" s="916" t="s">
        <v>4365</v>
      </c>
      <c r="F156" s="916" t="s">
        <v>4366</v>
      </c>
      <c r="G156" s="915"/>
      <c r="H156" s="917">
        <v>200080</v>
      </c>
      <c r="I156" s="918"/>
      <c r="J156" s="917">
        <v>19921294</v>
      </c>
    </row>
    <row r="157" spans="1:10">
      <c r="A157" t="s">
        <v>4597</v>
      </c>
      <c r="B157" s="915" t="s">
        <v>4291</v>
      </c>
      <c r="C157" s="915" t="str">
        <f t="shared" si="2"/>
        <v>12월</v>
      </c>
      <c r="D157" s="916" t="s">
        <v>4395</v>
      </c>
      <c r="E157" s="916" t="s">
        <v>4365</v>
      </c>
      <c r="F157" s="916" t="s">
        <v>4366</v>
      </c>
      <c r="G157" s="915"/>
      <c r="H157" s="917">
        <v>200020</v>
      </c>
      <c r="I157" s="918"/>
      <c r="J157" s="917">
        <v>20579984</v>
      </c>
    </row>
    <row r="158" spans="1:10">
      <c r="A158" t="s">
        <v>4765</v>
      </c>
      <c r="B158" s="915" t="s">
        <v>3745</v>
      </c>
      <c r="C158" s="915" t="str">
        <f t="shared" si="2"/>
        <v>5월</v>
      </c>
      <c r="D158" s="916" t="s">
        <v>4703</v>
      </c>
      <c r="E158" s="916"/>
      <c r="F158" s="916" t="s">
        <v>4672</v>
      </c>
      <c r="G158" s="915"/>
      <c r="H158" s="917">
        <v>200000</v>
      </c>
      <c r="I158" s="918"/>
      <c r="J158" s="918"/>
    </row>
    <row r="159" spans="1:10">
      <c r="A159" t="s">
        <v>4765</v>
      </c>
      <c r="B159" s="915" t="s">
        <v>4483</v>
      </c>
      <c r="C159" s="915" t="str">
        <f t="shared" si="2"/>
        <v>6월</v>
      </c>
      <c r="D159" s="916" t="s">
        <v>4713</v>
      </c>
      <c r="E159" s="916" t="s">
        <v>4714</v>
      </c>
      <c r="F159" s="916" t="s">
        <v>4715</v>
      </c>
      <c r="G159" s="915" t="s">
        <v>4716</v>
      </c>
      <c r="H159" s="917">
        <v>200000</v>
      </c>
      <c r="I159" s="918"/>
      <c r="J159" s="917">
        <v>10355780</v>
      </c>
    </row>
    <row r="160" spans="1:10">
      <c r="A160" t="s">
        <v>4765</v>
      </c>
      <c r="B160" s="915" t="s">
        <v>4140</v>
      </c>
      <c r="C160" s="915" t="str">
        <f t="shared" si="2"/>
        <v>6월</v>
      </c>
      <c r="D160" s="916" t="s">
        <v>4699</v>
      </c>
      <c r="E160" s="916" t="s">
        <v>4700</v>
      </c>
      <c r="F160" s="916" t="s">
        <v>4701</v>
      </c>
      <c r="G160" s="915" t="s">
        <v>4702</v>
      </c>
      <c r="H160" s="917">
        <v>200000</v>
      </c>
      <c r="I160" s="918"/>
      <c r="J160" s="917">
        <v>10625780</v>
      </c>
    </row>
    <row r="161" spans="1:10">
      <c r="A161" t="s">
        <v>4010</v>
      </c>
      <c r="B161" s="915" t="s">
        <v>3332</v>
      </c>
      <c r="C161" s="915" t="str">
        <f t="shared" si="2"/>
        <v>12월</v>
      </c>
      <c r="D161" s="916" t="s">
        <v>4007</v>
      </c>
      <c r="E161" s="916"/>
      <c r="F161" s="916" t="s">
        <v>3692</v>
      </c>
      <c r="G161" s="915"/>
      <c r="H161" s="917">
        <v>200000</v>
      </c>
      <c r="I161" s="918"/>
      <c r="J161" s="918"/>
    </row>
    <row r="162" spans="1:10">
      <c r="A162" t="s">
        <v>3871</v>
      </c>
      <c r="B162" s="915" t="s">
        <v>3766</v>
      </c>
      <c r="C162" s="915" t="str">
        <f t="shared" si="2"/>
        <v>7월</v>
      </c>
      <c r="D162" s="916" t="s">
        <v>3641</v>
      </c>
      <c r="E162" s="916"/>
      <c r="F162" s="916" t="s">
        <v>3716</v>
      </c>
      <c r="G162" s="915"/>
      <c r="H162" s="917">
        <v>199000</v>
      </c>
      <c r="I162" s="918"/>
      <c r="J162" s="917">
        <v>484831</v>
      </c>
    </row>
    <row r="163" spans="1:10">
      <c r="A163" t="s">
        <v>4220</v>
      </c>
      <c r="B163" s="915" t="s">
        <v>4140</v>
      </c>
      <c r="C163" s="915" t="str">
        <f t="shared" si="2"/>
        <v>6월</v>
      </c>
      <c r="D163" s="916" t="s">
        <v>4158</v>
      </c>
      <c r="E163" s="916" t="s">
        <v>4171</v>
      </c>
      <c r="F163" s="916" t="s">
        <v>4172</v>
      </c>
      <c r="G163" s="915" t="s">
        <v>4173</v>
      </c>
      <c r="H163" s="917">
        <v>197040</v>
      </c>
      <c r="I163" s="918"/>
      <c r="J163" s="918"/>
    </row>
    <row r="164" spans="1:10">
      <c r="A164" t="s">
        <v>4765</v>
      </c>
      <c r="B164" s="915" t="s">
        <v>4342</v>
      </c>
      <c r="C164" s="915" t="str">
        <f t="shared" si="2"/>
        <v>7월</v>
      </c>
      <c r="D164" s="916" t="s">
        <v>4718</v>
      </c>
      <c r="E164" s="916"/>
      <c r="F164" s="916" t="s">
        <v>4652</v>
      </c>
      <c r="G164" s="915"/>
      <c r="H164" s="917">
        <v>195800</v>
      </c>
      <c r="I164" s="918"/>
      <c r="J164" s="917">
        <v>12197580</v>
      </c>
    </row>
    <row r="165" spans="1:10">
      <c r="A165" t="s">
        <v>4220</v>
      </c>
      <c r="B165" s="915" t="s">
        <v>4186</v>
      </c>
      <c r="C165" s="915" t="str">
        <f t="shared" si="2"/>
        <v>5월</v>
      </c>
      <c r="D165" s="916" t="s">
        <v>4158</v>
      </c>
      <c r="E165" s="916" t="s">
        <v>4171</v>
      </c>
      <c r="F165" s="916" t="s">
        <v>4172</v>
      </c>
      <c r="G165" s="915" t="s">
        <v>4173</v>
      </c>
      <c r="H165" s="917">
        <v>193790</v>
      </c>
      <c r="I165" s="918"/>
      <c r="J165" s="917">
        <v>5333410</v>
      </c>
    </row>
    <row r="166" spans="1:10">
      <c r="A166" t="s">
        <v>4292</v>
      </c>
      <c r="B166" s="915" t="s">
        <v>4140</v>
      </c>
      <c r="C166" s="915" t="str">
        <f t="shared" si="2"/>
        <v>6월</v>
      </c>
      <c r="D166" s="916" t="s">
        <v>4261</v>
      </c>
      <c r="E166" s="916" t="s">
        <v>4233</v>
      </c>
      <c r="F166" s="916" t="s">
        <v>4234</v>
      </c>
      <c r="G166" s="915" t="s">
        <v>4235</v>
      </c>
      <c r="H166" s="917">
        <v>192460</v>
      </c>
      <c r="I166" s="918"/>
      <c r="J166" s="917">
        <v>446220</v>
      </c>
    </row>
    <row r="167" spans="1:10">
      <c r="A167" t="s">
        <v>4064</v>
      </c>
      <c r="B167" s="915" t="s">
        <v>3748</v>
      </c>
      <c r="C167" s="915" t="str">
        <f t="shared" si="2"/>
        <v>6월</v>
      </c>
      <c r="D167" s="916" t="s">
        <v>4031</v>
      </c>
      <c r="E167" s="916" t="s">
        <v>4032</v>
      </c>
      <c r="F167" s="916" t="s">
        <v>4033</v>
      </c>
      <c r="G167" s="915" t="s">
        <v>4034</v>
      </c>
      <c r="H167" s="917">
        <v>188100</v>
      </c>
      <c r="I167" s="918"/>
      <c r="J167" s="917">
        <v>258805</v>
      </c>
    </row>
    <row r="168" spans="1:10">
      <c r="A168" t="s">
        <v>4220</v>
      </c>
      <c r="B168" s="915" t="s">
        <v>3838</v>
      </c>
      <c r="C168" s="915" t="str">
        <f t="shared" si="2"/>
        <v>11월</v>
      </c>
      <c r="D168" s="916" t="s">
        <v>4158</v>
      </c>
      <c r="E168" s="916" t="s">
        <v>4171</v>
      </c>
      <c r="F168" s="916" t="s">
        <v>4172</v>
      </c>
      <c r="G168" s="915" t="s">
        <v>4173</v>
      </c>
      <c r="H168" s="917">
        <v>185900</v>
      </c>
      <c r="I168" s="918"/>
      <c r="J168" s="917">
        <v>8554350</v>
      </c>
    </row>
    <row r="169" spans="1:10">
      <c r="A169" t="s">
        <v>4292</v>
      </c>
      <c r="B169" s="915" t="s">
        <v>3884</v>
      </c>
      <c r="C169" s="915" t="str">
        <f t="shared" si="2"/>
        <v>5월</v>
      </c>
      <c r="D169" s="916" t="s">
        <v>4252</v>
      </c>
      <c r="E169" s="916" t="s">
        <v>4233</v>
      </c>
      <c r="F169" s="916" t="s">
        <v>4234</v>
      </c>
      <c r="G169" s="915" t="s">
        <v>4235</v>
      </c>
      <c r="H169" s="917">
        <v>182600</v>
      </c>
      <c r="I169" s="918"/>
      <c r="J169" s="917">
        <v>446220</v>
      </c>
    </row>
    <row r="170" spans="1:10">
      <c r="A170" t="s">
        <v>4292</v>
      </c>
      <c r="B170" s="915" t="s">
        <v>3889</v>
      </c>
      <c r="C170" s="915" t="str">
        <f t="shared" si="2"/>
        <v>7월</v>
      </c>
      <c r="D170" s="916" t="s">
        <v>4268</v>
      </c>
      <c r="E170" s="916" t="s">
        <v>4233</v>
      </c>
      <c r="F170" s="916" t="s">
        <v>4234</v>
      </c>
      <c r="G170" s="915" t="s">
        <v>4235</v>
      </c>
      <c r="H170" s="917">
        <v>182470</v>
      </c>
      <c r="I170" s="918"/>
      <c r="J170" s="917">
        <v>432070</v>
      </c>
    </row>
    <row r="171" spans="1:10">
      <c r="A171" t="s">
        <v>4292</v>
      </c>
      <c r="B171" s="915" t="s">
        <v>3974</v>
      </c>
      <c r="C171" s="915" t="str">
        <f t="shared" si="2"/>
        <v>9월</v>
      </c>
      <c r="D171" s="916" t="s">
        <v>3976</v>
      </c>
      <c r="E171" s="916"/>
      <c r="F171" s="916"/>
      <c r="G171" s="915"/>
      <c r="H171" s="917">
        <v>182470</v>
      </c>
      <c r="I171" s="918"/>
      <c r="J171" s="918"/>
    </row>
    <row r="172" spans="1:10">
      <c r="A172" t="s">
        <v>4220</v>
      </c>
      <c r="B172" s="915" t="s">
        <v>4181</v>
      </c>
      <c r="C172" s="915" t="str">
        <f t="shared" si="2"/>
        <v>4월</v>
      </c>
      <c r="D172" s="916" t="s">
        <v>4183</v>
      </c>
      <c r="E172" s="916" t="s">
        <v>4150</v>
      </c>
      <c r="F172" s="916" t="s">
        <v>4151</v>
      </c>
      <c r="G172" s="915" t="s">
        <v>4152</v>
      </c>
      <c r="H172" s="917">
        <v>181830</v>
      </c>
      <c r="I172" s="918"/>
      <c r="J172" s="917">
        <v>3991070</v>
      </c>
    </row>
    <row r="173" spans="1:10">
      <c r="A173" t="s">
        <v>4292</v>
      </c>
      <c r="B173" s="915" t="s">
        <v>4142</v>
      </c>
      <c r="C173" s="915" t="str">
        <f t="shared" si="2"/>
        <v>8월</v>
      </c>
      <c r="D173" s="916" t="s">
        <v>4272</v>
      </c>
      <c r="E173" s="916"/>
      <c r="F173" s="916" t="s">
        <v>4222</v>
      </c>
      <c r="G173" s="915"/>
      <c r="H173" s="917">
        <v>181540</v>
      </c>
      <c r="I173" s="918"/>
      <c r="J173" s="917">
        <v>443410</v>
      </c>
    </row>
    <row r="174" spans="1:10">
      <c r="A174" t="s">
        <v>4292</v>
      </c>
      <c r="B174" s="915" t="s">
        <v>3875</v>
      </c>
      <c r="C174" s="915" t="str">
        <f t="shared" si="2"/>
        <v>2월</v>
      </c>
      <c r="D174" s="916" t="s">
        <v>4237</v>
      </c>
      <c r="E174" s="916"/>
      <c r="F174" s="916" t="s">
        <v>4238</v>
      </c>
      <c r="G174" s="915"/>
      <c r="H174" s="917">
        <v>180370</v>
      </c>
      <c r="I174" s="918"/>
      <c r="J174" s="917">
        <v>417920</v>
      </c>
    </row>
    <row r="175" spans="1:10">
      <c r="A175" t="s">
        <v>4220</v>
      </c>
      <c r="B175" s="915" t="s">
        <v>3898</v>
      </c>
      <c r="C175" s="915" t="str">
        <f t="shared" si="2"/>
        <v>10월</v>
      </c>
      <c r="D175" s="916" t="s">
        <v>4158</v>
      </c>
      <c r="E175" s="916" t="s">
        <v>4171</v>
      </c>
      <c r="F175" s="916" t="s">
        <v>4172</v>
      </c>
      <c r="G175" s="915" t="s">
        <v>4173</v>
      </c>
      <c r="H175" s="917">
        <v>180240</v>
      </c>
      <c r="I175" s="918"/>
      <c r="J175" s="917">
        <v>7717090</v>
      </c>
    </row>
    <row r="176" spans="1:10">
      <c r="A176" t="s">
        <v>4064</v>
      </c>
      <c r="B176" s="915" t="s">
        <v>3621</v>
      </c>
      <c r="C176" s="915" t="str">
        <f t="shared" si="2"/>
        <v>11월</v>
      </c>
      <c r="D176" s="916" t="s">
        <v>4060</v>
      </c>
      <c r="E176" s="916"/>
      <c r="F176" s="916" t="s">
        <v>4061</v>
      </c>
      <c r="G176" s="915"/>
      <c r="H176" s="917">
        <v>180000</v>
      </c>
      <c r="I176" s="918"/>
      <c r="J176" s="917">
        <v>1966705</v>
      </c>
    </row>
    <row r="177" spans="1:10">
      <c r="A177" t="s">
        <v>4220</v>
      </c>
      <c r="B177" s="915" t="s">
        <v>4219</v>
      </c>
      <c r="C177" s="915" t="str">
        <f t="shared" si="2"/>
        <v>12월</v>
      </c>
      <c r="D177" s="916" t="s">
        <v>4157</v>
      </c>
      <c r="E177" s="916"/>
      <c r="F177" s="916" t="s">
        <v>4156</v>
      </c>
      <c r="G177" s="915"/>
      <c r="H177" s="917">
        <v>179340</v>
      </c>
      <c r="I177" s="918"/>
      <c r="J177" s="918"/>
    </row>
    <row r="178" spans="1:10">
      <c r="A178" t="s">
        <v>4010</v>
      </c>
      <c r="B178" s="915" t="s">
        <v>3613</v>
      </c>
      <c r="C178" s="915" t="str">
        <f t="shared" si="2"/>
        <v>6월</v>
      </c>
      <c r="D178" s="916" t="s">
        <v>3964</v>
      </c>
      <c r="E178" s="916"/>
      <c r="F178" s="916" t="s">
        <v>3679</v>
      </c>
      <c r="G178" s="915"/>
      <c r="H178" s="917">
        <v>178000</v>
      </c>
      <c r="I178" s="918"/>
      <c r="J178" s="918"/>
    </row>
    <row r="179" spans="1:10">
      <c r="A179" t="s">
        <v>4292</v>
      </c>
      <c r="B179" s="915" t="s">
        <v>3881</v>
      </c>
      <c r="C179" s="915" t="str">
        <f t="shared" si="2"/>
        <v>4월</v>
      </c>
      <c r="D179" s="916" t="s">
        <v>4247</v>
      </c>
      <c r="E179" s="916" t="s">
        <v>4233</v>
      </c>
      <c r="F179" s="916" t="s">
        <v>4234</v>
      </c>
      <c r="G179" s="915" t="s">
        <v>4235</v>
      </c>
      <c r="H179" s="917">
        <v>177920</v>
      </c>
      <c r="I179" s="918"/>
      <c r="J179" s="917">
        <v>432070</v>
      </c>
    </row>
    <row r="180" spans="1:10">
      <c r="A180" t="s">
        <v>4220</v>
      </c>
      <c r="B180" s="915" t="s">
        <v>4215</v>
      </c>
      <c r="C180" s="915" t="str">
        <f t="shared" si="2"/>
        <v>12월</v>
      </c>
      <c r="D180" s="916" t="s">
        <v>4149</v>
      </c>
      <c r="E180" s="916" t="s">
        <v>4150</v>
      </c>
      <c r="F180" s="916" t="s">
        <v>4216</v>
      </c>
      <c r="G180" s="915" t="s">
        <v>4152</v>
      </c>
      <c r="H180" s="917">
        <v>176620</v>
      </c>
      <c r="I180" s="918"/>
      <c r="J180" s="918"/>
    </row>
    <row r="181" spans="1:10">
      <c r="A181" t="s">
        <v>4292</v>
      </c>
      <c r="B181" s="915" t="s">
        <v>3330</v>
      </c>
      <c r="C181" s="915" t="str">
        <f t="shared" si="2"/>
        <v>12월</v>
      </c>
      <c r="D181" s="916" t="s">
        <v>4289</v>
      </c>
      <c r="E181" s="916" t="s">
        <v>4290</v>
      </c>
      <c r="F181" s="916" t="s">
        <v>4228</v>
      </c>
      <c r="G181" s="915" t="s">
        <v>4235</v>
      </c>
      <c r="H181" s="917">
        <v>176170</v>
      </c>
      <c r="I181" s="918"/>
      <c r="J181" s="917">
        <v>2055650</v>
      </c>
    </row>
    <row r="182" spans="1:10">
      <c r="A182" t="s">
        <v>4220</v>
      </c>
      <c r="B182" s="915" t="s">
        <v>3932</v>
      </c>
      <c r="C182" s="915" t="str">
        <f t="shared" si="2"/>
        <v>1월</v>
      </c>
      <c r="D182" s="916" t="s">
        <v>4157</v>
      </c>
      <c r="E182" s="916"/>
      <c r="F182" s="916" t="s">
        <v>4156</v>
      </c>
      <c r="G182" s="915"/>
      <c r="H182" s="917">
        <v>173910</v>
      </c>
      <c r="I182" s="918"/>
      <c r="J182" s="918"/>
    </row>
    <row r="183" spans="1:10">
      <c r="A183" t="s">
        <v>4292</v>
      </c>
      <c r="B183" s="915" t="s">
        <v>4275</v>
      </c>
      <c r="C183" s="915" t="str">
        <f t="shared" si="2"/>
        <v>9월</v>
      </c>
      <c r="D183" s="916" t="s">
        <v>4276</v>
      </c>
      <c r="E183" s="916" t="s">
        <v>4233</v>
      </c>
      <c r="F183" s="916" t="s">
        <v>4234</v>
      </c>
      <c r="G183" s="915" t="s">
        <v>4235</v>
      </c>
      <c r="H183" s="917">
        <v>173420</v>
      </c>
      <c r="I183" s="918"/>
      <c r="J183" s="917">
        <v>1236890</v>
      </c>
    </row>
    <row r="184" spans="1:10">
      <c r="A184" t="s">
        <v>4292</v>
      </c>
      <c r="B184" s="915" t="s">
        <v>3878</v>
      </c>
      <c r="C184" s="915" t="str">
        <f t="shared" si="2"/>
        <v>3월</v>
      </c>
      <c r="D184" s="916" t="s">
        <v>4242</v>
      </c>
      <c r="E184" s="916" t="s">
        <v>4233</v>
      </c>
      <c r="F184" s="916" t="s">
        <v>4234</v>
      </c>
      <c r="G184" s="915" t="s">
        <v>4235</v>
      </c>
      <c r="H184" s="917">
        <v>172760</v>
      </c>
      <c r="I184" s="918"/>
      <c r="J184" s="917">
        <v>432070</v>
      </c>
    </row>
    <row r="185" spans="1:10">
      <c r="A185" t="s">
        <v>4292</v>
      </c>
      <c r="B185" s="915" t="s">
        <v>3898</v>
      </c>
      <c r="C185" s="915" t="str">
        <f t="shared" si="2"/>
        <v>10월</v>
      </c>
      <c r="D185" s="916" t="s">
        <v>4282</v>
      </c>
      <c r="E185" s="916" t="s">
        <v>4233</v>
      </c>
      <c r="F185" s="916" t="s">
        <v>4234</v>
      </c>
      <c r="G185" s="915" t="s">
        <v>4235</v>
      </c>
      <c r="H185" s="917">
        <v>172470</v>
      </c>
      <c r="I185" s="918"/>
      <c r="J185" s="917">
        <v>1229750</v>
      </c>
    </row>
    <row r="186" spans="1:10">
      <c r="A186" t="s">
        <v>4292</v>
      </c>
      <c r="B186" s="915" t="s">
        <v>3892</v>
      </c>
      <c r="C186" s="915" t="str">
        <f t="shared" si="2"/>
        <v>8월</v>
      </c>
      <c r="D186" s="916" t="s">
        <v>4273</v>
      </c>
      <c r="E186" s="916" t="s">
        <v>4233</v>
      </c>
      <c r="F186" s="916" t="s">
        <v>4234</v>
      </c>
      <c r="G186" s="915" t="s">
        <v>4235</v>
      </c>
      <c r="H186" s="917">
        <v>170200</v>
      </c>
      <c r="I186" s="918"/>
      <c r="J186" s="917">
        <v>613610</v>
      </c>
    </row>
    <row r="187" spans="1:10">
      <c r="A187" t="s">
        <v>4292</v>
      </c>
      <c r="B187" s="915" t="s">
        <v>3901</v>
      </c>
      <c r="C187" s="915" t="str">
        <f t="shared" si="2"/>
        <v>11월</v>
      </c>
      <c r="D187" s="916" t="s">
        <v>4286</v>
      </c>
      <c r="E187" s="916"/>
      <c r="F187" s="916" t="s">
        <v>4238</v>
      </c>
      <c r="G187" s="915"/>
      <c r="H187" s="917">
        <v>169650</v>
      </c>
      <c r="I187" s="918"/>
      <c r="J187" s="917">
        <v>1489460</v>
      </c>
    </row>
    <row r="188" spans="1:10">
      <c r="A188" t="s">
        <v>4010</v>
      </c>
      <c r="B188" s="915" t="s">
        <v>3616</v>
      </c>
      <c r="C188" s="915" t="str">
        <f t="shared" si="2"/>
        <v>9월</v>
      </c>
      <c r="D188" s="916" t="s">
        <v>3981</v>
      </c>
      <c r="E188" s="916"/>
      <c r="F188" s="916" t="s">
        <v>3982</v>
      </c>
      <c r="G188" s="915"/>
      <c r="H188" s="917">
        <v>168300</v>
      </c>
      <c r="I188" s="918"/>
      <c r="J188" s="918"/>
    </row>
    <row r="189" spans="1:10">
      <c r="A189" t="s">
        <v>4220</v>
      </c>
      <c r="B189" s="915" t="s">
        <v>4205</v>
      </c>
      <c r="C189" s="915" t="str">
        <f t="shared" si="2"/>
        <v>8월</v>
      </c>
      <c r="D189" s="916" t="s">
        <v>4157</v>
      </c>
      <c r="E189" s="916"/>
      <c r="F189" s="916" t="s">
        <v>4156</v>
      </c>
      <c r="G189" s="915"/>
      <c r="H189" s="917">
        <v>167940</v>
      </c>
      <c r="I189" s="918"/>
      <c r="J189" s="918"/>
    </row>
    <row r="190" spans="1:10">
      <c r="A190" t="s">
        <v>3871</v>
      </c>
      <c r="B190" s="915" t="s">
        <v>3640</v>
      </c>
      <c r="C190" s="915" t="str">
        <f t="shared" si="2"/>
        <v>1월</v>
      </c>
      <c r="D190" s="916" t="s">
        <v>3641</v>
      </c>
      <c r="E190" s="916"/>
      <c r="F190" s="916" t="s">
        <v>3642</v>
      </c>
      <c r="G190" s="915"/>
      <c r="H190" s="917">
        <v>166100</v>
      </c>
      <c r="I190" s="918"/>
      <c r="J190" s="917">
        <v>266870</v>
      </c>
    </row>
    <row r="191" spans="1:10">
      <c r="A191" t="s">
        <v>4765</v>
      </c>
      <c r="B191" s="915" t="s">
        <v>4334</v>
      </c>
      <c r="C191" s="915" t="str">
        <f t="shared" si="2"/>
        <v>5월</v>
      </c>
      <c r="D191" s="916" t="s">
        <v>4692</v>
      </c>
      <c r="E191" s="916" t="s">
        <v>4693</v>
      </c>
      <c r="F191" s="916" t="s">
        <v>4694</v>
      </c>
      <c r="G191" s="915" t="s">
        <v>4695</v>
      </c>
      <c r="H191" s="917">
        <v>165000</v>
      </c>
      <c r="I191" s="918"/>
      <c r="J191" s="918"/>
    </row>
    <row r="192" spans="1:10">
      <c r="A192" t="s">
        <v>4292</v>
      </c>
      <c r="B192" s="915" t="s">
        <v>4139</v>
      </c>
      <c r="C192" s="915" t="str">
        <f t="shared" si="2"/>
        <v>5월</v>
      </c>
      <c r="D192" s="916" t="s">
        <v>4249</v>
      </c>
      <c r="E192" s="916"/>
      <c r="F192" s="916" t="s">
        <v>4222</v>
      </c>
      <c r="G192" s="915"/>
      <c r="H192" s="917">
        <v>162890</v>
      </c>
      <c r="I192" s="918"/>
      <c r="J192" s="917">
        <v>609110</v>
      </c>
    </row>
    <row r="193" spans="1:10">
      <c r="A193" t="s">
        <v>4064</v>
      </c>
      <c r="B193" s="915" t="s">
        <v>3826</v>
      </c>
      <c r="C193" s="915" t="str">
        <f t="shared" si="2"/>
        <v>11월</v>
      </c>
      <c r="D193" s="916" t="s">
        <v>4058</v>
      </c>
      <c r="E193" s="916"/>
      <c r="F193" s="916" t="s">
        <v>4059</v>
      </c>
      <c r="G193" s="915"/>
      <c r="H193" s="917">
        <v>160000</v>
      </c>
      <c r="I193" s="918"/>
      <c r="J193" s="917">
        <v>1786705</v>
      </c>
    </row>
    <row r="194" spans="1:10">
      <c r="A194" t="s">
        <v>4765</v>
      </c>
      <c r="B194" s="915" t="s">
        <v>3779</v>
      </c>
      <c r="C194" s="915" t="str">
        <f t="shared" ref="C194:C257" si="3">MONTH(B194)&amp;"월"</f>
        <v>8월</v>
      </c>
      <c r="D194" s="916" t="s">
        <v>4723</v>
      </c>
      <c r="E194" s="916" t="s">
        <v>4724</v>
      </c>
      <c r="F194" s="916" t="s">
        <v>4725</v>
      </c>
      <c r="G194" s="915" t="s">
        <v>4726</v>
      </c>
      <c r="H194" s="917">
        <v>160000</v>
      </c>
      <c r="I194" s="918"/>
      <c r="J194" s="917">
        <v>15784580</v>
      </c>
    </row>
    <row r="195" spans="1:10">
      <c r="A195" t="s">
        <v>4292</v>
      </c>
      <c r="B195" s="915" t="s">
        <v>3722</v>
      </c>
      <c r="C195" s="915" t="str">
        <f t="shared" si="3"/>
        <v>4월</v>
      </c>
      <c r="D195" s="916" t="s">
        <v>4246</v>
      </c>
      <c r="E195" s="916"/>
      <c r="F195" s="916" t="s">
        <v>4222</v>
      </c>
      <c r="G195" s="915"/>
      <c r="H195" s="917">
        <v>158150</v>
      </c>
      <c r="I195" s="918"/>
      <c r="J195" s="917">
        <v>254150</v>
      </c>
    </row>
    <row r="196" spans="1:10">
      <c r="A196" t="s">
        <v>4292</v>
      </c>
      <c r="B196" s="915" t="s">
        <v>4145</v>
      </c>
      <c r="C196" s="915" t="str">
        <f t="shared" si="3"/>
        <v>12월</v>
      </c>
      <c r="D196" s="916" t="s">
        <v>4288</v>
      </c>
      <c r="E196" s="916"/>
      <c r="F196" s="916" t="s">
        <v>4222</v>
      </c>
      <c r="G196" s="915"/>
      <c r="H196" s="917">
        <v>157630</v>
      </c>
      <c r="I196" s="918"/>
      <c r="J196" s="917">
        <v>1879480</v>
      </c>
    </row>
    <row r="197" spans="1:10">
      <c r="A197" t="s">
        <v>4220</v>
      </c>
      <c r="B197" s="915" t="s">
        <v>4052</v>
      </c>
      <c r="C197" s="915" t="str">
        <f t="shared" si="3"/>
        <v>9월</v>
      </c>
      <c r="D197" s="916" t="s">
        <v>4157</v>
      </c>
      <c r="E197" s="916"/>
      <c r="F197" s="916" t="s">
        <v>4156</v>
      </c>
      <c r="G197" s="915"/>
      <c r="H197" s="917">
        <v>155000</v>
      </c>
      <c r="I197" s="918"/>
      <c r="J197" s="918"/>
    </row>
    <row r="198" spans="1:10">
      <c r="A198" t="s">
        <v>4292</v>
      </c>
      <c r="B198" s="915" t="s">
        <v>4144</v>
      </c>
      <c r="C198" s="915" t="str">
        <f t="shared" si="3"/>
        <v>10월</v>
      </c>
      <c r="D198" s="916" t="s">
        <v>4281</v>
      </c>
      <c r="E198" s="916"/>
      <c r="F198" s="916" t="s">
        <v>4222</v>
      </c>
      <c r="G198" s="915"/>
      <c r="H198" s="917">
        <v>152130</v>
      </c>
      <c r="I198" s="918"/>
      <c r="J198" s="917">
        <v>1057280</v>
      </c>
    </row>
    <row r="199" spans="1:10">
      <c r="A199" t="s">
        <v>4128</v>
      </c>
      <c r="B199" s="915" t="s">
        <v>3767</v>
      </c>
      <c r="C199" s="915" t="str">
        <f t="shared" si="3"/>
        <v>7월</v>
      </c>
      <c r="D199" s="916" t="s">
        <v>4121</v>
      </c>
      <c r="E199" s="916" t="s">
        <v>4116</v>
      </c>
      <c r="F199" s="916" t="s">
        <v>4117</v>
      </c>
      <c r="G199" s="915"/>
      <c r="H199" s="917">
        <v>150128</v>
      </c>
      <c r="I199" s="918"/>
      <c r="J199" s="917">
        <v>3333090</v>
      </c>
    </row>
    <row r="200" spans="1:10">
      <c r="A200" t="s">
        <v>3871</v>
      </c>
      <c r="B200" s="915" t="s">
        <v>3608</v>
      </c>
      <c r="C200" s="915" t="str">
        <f t="shared" si="3"/>
        <v>6월</v>
      </c>
      <c r="D200" s="916" t="s">
        <v>3752</v>
      </c>
      <c r="E200" s="916"/>
      <c r="F200" s="916" t="s">
        <v>3753</v>
      </c>
      <c r="G200" s="915"/>
      <c r="H200" s="917">
        <v>150000</v>
      </c>
      <c r="I200" s="918"/>
      <c r="J200" s="917">
        <v>14731</v>
      </c>
    </row>
    <row r="201" spans="1:10">
      <c r="A201" t="s">
        <v>4765</v>
      </c>
      <c r="B201" s="915" t="s">
        <v>4124</v>
      </c>
      <c r="C201" s="915" t="str">
        <f t="shared" si="3"/>
        <v>9월</v>
      </c>
      <c r="D201" s="916" t="s">
        <v>4733</v>
      </c>
      <c r="E201" s="916"/>
      <c r="F201" s="916" t="s">
        <v>4734</v>
      </c>
      <c r="G201" s="915"/>
      <c r="H201" s="917">
        <v>150000</v>
      </c>
      <c r="I201" s="918"/>
      <c r="J201" s="917">
        <v>17594580</v>
      </c>
    </row>
    <row r="202" spans="1:10">
      <c r="A202" t="s">
        <v>4765</v>
      </c>
      <c r="B202" s="915" t="s">
        <v>3856</v>
      </c>
      <c r="C202" s="915" t="str">
        <f t="shared" si="3"/>
        <v>12월</v>
      </c>
      <c r="D202" s="916" t="s">
        <v>4733</v>
      </c>
      <c r="E202" s="916"/>
      <c r="F202" s="916" t="s">
        <v>4734</v>
      </c>
      <c r="G202" s="915"/>
      <c r="H202" s="917">
        <v>150000</v>
      </c>
      <c r="I202" s="918"/>
      <c r="J202" s="917">
        <v>23885380</v>
      </c>
    </row>
    <row r="203" spans="1:10">
      <c r="A203" t="s">
        <v>4128</v>
      </c>
      <c r="B203" s="915" t="s">
        <v>3815</v>
      </c>
      <c r="C203" s="915" t="str">
        <f t="shared" si="3"/>
        <v>10월</v>
      </c>
      <c r="D203" s="916" t="s">
        <v>4126</v>
      </c>
      <c r="E203" s="916" t="s">
        <v>4116</v>
      </c>
      <c r="F203" s="916" t="s">
        <v>4117</v>
      </c>
      <c r="G203" s="915"/>
      <c r="H203" s="917">
        <v>149216</v>
      </c>
      <c r="I203" s="918"/>
      <c r="J203" s="917">
        <v>10663756</v>
      </c>
    </row>
    <row r="204" spans="1:10">
      <c r="A204" t="s">
        <v>4128</v>
      </c>
      <c r="B204" s="915" t="s">
        <v>3629</v>
      </c>
      <c r="C204" s="915" t="str">
        <f t="shared" si="3"/>
        <v>12월</v>
      </c>
      <c r="D204" s="916" t="s">
        <v>4127</v>
      </c>
      <c r="E204" s="916" t="s">
        <v>4116</v>
      </c>
      <c r="F204" s="916" t="s">
        <v>4117</v>
      </c>
      <c r="G204" s="915"/>
      <c r="H204" s="917">
        <v>147116</v>
      </c>
      <c r="I204" s="918"/>
      <c r="J204" s="918"/>
    </row>
    <row r="205" spans="1:10">
      <c r="A205" t="s">
        <v>4128</v>
      </c>
      <c r="B205" s="915" t="s">
        <v>3719</v>
      </c>
      <c r="C205" s="915" t="str">
        <f t="shared" si="3"/>
        <v>4월</v>
      </c>
      <c r="D205" s="916" t="s">
        <v>4115</v>
      </c>
      <c r="E205" s="916" t="s">
        <v>4116</v>
      </c>
      <c r="F205" s="916" t="s">
        <v>4117</v>
      </c>
      <c r="G205" s="915"/>
      <c r="H205" s="917">
        <v>145972</v>
      </c>
      <c r="I205" s="918"/>
      <c r="J205" s="917">
        <v>444222</v>
      </c>
    </row>
    <row r="206" spans="1:10">
      <c r="A206" t="s">
        <v>3870</v>
      </c>
      <c r="B206" s="915" t="s">
        <v>3618</v>
      </c>
      <c r="C206" s="915" t="str">
        <f t="shared" si="3"/>
        <v>11월</v>
      </c>
      <c r="D206" s="916" t="s">
        <v>3619</v>
      </c>
      <c r="E206" s="916"/>
      <c r="F206" s="916" t="s">
        <v>3620</v>
      </c>
      <c r="G206" s="915"/>
      <c r="H206" s="917">
        <v>141570</v>
      </c>
      <c r="I206" s="918"/>
      <c r="J206" s="917">
        <v>972610</v>
      </c>
    </row>
    <row r="207" spans="1:10">
      <c r="A207" t="s">
        <v>4629</v>
      </c>
      <c r="B207" s="915" t="s">
        <v>4447</v>
      </c>
      <c r="C207" s="915" t="str">
        <f t="shared" si="3"/>
        <v>4월</v>
      </c>
      <c r="D207" s="916" t="s">
        <v>4610</v>
      </c>
      <c r="E207" s="916" t="s">
        <v>4449</v>
      </c>
      <c r="F207" s="916" t="s">
        <v>4450</v>
      </c>
      <c r="G207" s="915" t="s">
        <v>4451</v>
      </c>
      <c r="H207" s="917">
        <v>140000</v>
      </c>
      <c r="I207" s="918"/>
      <c r="J207" s="917">
        <v>285000</v>
      </c>
    </row>
    <row r="208" spans="1:10">
      <c r="A208" t="s">
        <v>4220</v>
      </c>
      <c r="B208" s="915" t="s">
        <v>3735</v>
      </c>
      <c r="C208" s="915" t="str">
        <f t="shared" si="3"/>
        <v>5월</v>
      </c>
      <c r="D208" s="916" t="s">
        <v>4185</v>
      </c>
      <c r="E208" s="916" t="s">
        <v>4150</v>
      </c>
      <c r="F208" s="916" t="s">
        <v>4151</v>
      </c>
      <c r="G208" s="915" t="s">
        <v>4152</v>
      </c>
      <c r="H208" s="917">
        <v>139730</v>
      </c>
      <c r="I208" s="918"/>
      <c r="J208" s="917">
        <v>4656930</v>
      </c>
    </row>
    <row r="209" spans="1:10">
      <c r="A209" t="s">
        <v>4597</v>
      </c>
      <c r="B209" s="915" t="s">
        <v>4588</v>
      </c>
      <c r="C209" s="915" t="str">
        <f t="shared" si="3"/>
        <v>12월</v>
      </c>
      <c r="D209" s="916" t="s">
        <v>4479</v>
      </c>
      <c r="E209" s="916" t="s">
        <v>4369</v>
      </c>
      <c r="F209" s="916" t="s">
        <v>4370</v>
      </c>
      <c r="G209" s="915"/>
      <c r="H209" s="917">
        <v>138600</v>
      </c>
      <c r="I209" s="918"/>
      <c r="J209" s="918"/>
    </row>
    <row r="210" spans="1:10">
      <c r="A210" t="s">
        <v>4010</v>
      </c>
      <c r="B210" s="915" t="s">
        <v>3687</v>
      </c>
      <c r="C210" s="915" t="str">
        <f t="shared" si="3"/>
        <v>2월</v>
      </c>
      <c r="D210" s="916" t="s">
        <v>3939</v>
      </c>
      <c r="E210" s="916"/>
      <c r="F210" s="916" t="s">
        <v>3940</v>
      </c>
      <c r="G210" s="915"/>
      <c r="H210" s="917">
        <v>138000</v>
      </c>
      <c r="I210" s="918"/>
      <c r="J210" s="918"/>
    </row>
    <row r="211" spans="1:10">
      <c r="A211" t="s">
        <v>3871</v>
      </c>
      <c r="B211" s="915" t="s">
        <v>3772</v>
      </c>
      <c r="C211" s="915" t="str">
        <f t="shared" si="3"/>
        <v>7월</v>
      </c>
      <c r="D211" s="916" t="s">
        <v>3641</v>
      </c>
      <c r="E211" s="916"/>
      <c r="F211" s="916" t="s">
        <v>3707</v>
      </c>
      <c r="G211" s="915"/>
      <c r="H211" s="917">
        <v>137500</v>
      </c>
      <c r="I211" s="918"/>
      <c r="J211" s="917">
        <v>755581</v>
      </c>
    </row>
    <row r="212" spans="1:10">
      <c r="A212" t="s">
        <v>4064</v>
      </c>
      <c r="B212" s="915" t="s">
        <v>4052</v>
      </c>
      <c r="C212" s="915" t="str">
        <f t="shared" si="3"/>
        <v>9월</v>
      </c>
      <c r="D212" s="916" t="s">
        <v>4053</v>
      </c>
      <c r="E212" s="916"/>
      <c r="F212" s="916" t="s">
        <v>4054</v>
      </c>
      <c r="G212" s="915"/>
      <c r="H212" s="917">
        <v>135000</v>
      </c>
      <c r="I212" s="918"/>
      <c r="J212" s="917">
        <v>1572905</v>
      </c>
    </row>
    <row r="213" spans="1:10">
      <c r="A213" t="s">
        <v>4292</v>
      </c>
      <c r="B213" s="915" t="s">
        <v>3835</v>
      </c>
      <c r="C213" s="915" t="str">
        <f t="shared" si="3"/>
        <v>11월</v>
      </c>
      <c r="D213" s="916" t="s">
        <v>4223</v>
      </c>
      <c r="E213" s="916" t="s">
        <v>4224</v>
      </c>
      <c r="F213" s="916" t="s">
        <v>4225</v>
      </c>
      <c r="G213" s="915" t="s">
        <v>4226</v>
      </c>
      <c r="H213" s="917">
        <v>134750</v>
      </c>
      <c r="I213" s="918"/>
      <c r="J213" s="917">
        <v>1378650</v>
      </c>
    </row>
    <row r="214" spans="1:10">
      <c r="A214" t="s">
        <v>3871</v>
      </c>
      <c r="B214" s="915" t="s">
        <v>3698</v>
      </c>
      <c r="C214" s="915" t="str">
        <f t="shared" si="3"/>
        <v>3월</v>
      </c>
      <c r="D214" s="916" t="s">
        <v>3660</v>
      </c>
      <c r="E214" s="916"/>
      <c r="F214" s="916" t="s">
        <v>3699</v>
      </c>
      <c r="G214" s="915"/>
      <c r="H214" s="917">
        <v>134500</v>
      </c>
      <c r="I214" s="918"/>
      <c r="J214" s="917">
        <v>1621610</v>
      </c>
    </row>
    <row r="215" spans="1:10">
      <c r="A215" t="s">
        <v>4292</v>
      </c>
      <c r="B215" s="915" t="s">
        <v>4190</v>
      </c>
      <c r="C215" s="915" t="str">
        <f t="shared" si="3"/>
        <v>6월</v>
      </c>
      <c r="D215" s="916" t="s">
        <v>4255</v>
      </c>
      <c r="E215" s="916" t="s">
        <v>4256</v>
      </c>
      <c r="F215" s="916" t="s">
        <v>4257</v>
      </c>
      <c r="G215" s="915"/>
      <c r="H215" s="917">
        <v>132010</v>
      </c>
      <c r="I215" s="918"/>
      <c r="J215" s="917">
        <v>578230</v>
      </c>
    </row>
    <row r="216" spans="1:10">
      <c r="A216" t="s">
        <v>4220</v>
      </c>
      <c r="B216" s="915" t="s">
        <v>4167</v>
      </c>
      <c r="C216" s="915" t="str">
        <f t="shared" si="3"/>
        <v>2월</v>
      </c>
      <c r="D216" s="916" t="s">
        <v>4169</v>
      </c>
      <c r="E216" s="916" t="s">
        <v>4150</v>
      </c>
      <c r="F216" s="916" t="s">
        <v>4151</v>
      </c>
      <c r="G216" s="915" t="s">
        <v>4152</v>
      </c>
      <c r="H216" s="917">
        <v>129150</v>
      </c>
      <c r="I216" s="918"/>
      <c r="J216" s="918"/>
    </row>
    <row r="217" spans="1:10">
      <c r="A217" t="s">
        <v>3871</v>
      </c>
      <c r="B217" s="915" t="s">
        <v>3687</v>
      </c>
      <c r="C217" s="915" t="str">
        <f t="shared" si="3"/>
        <v>2월</v>
      </c>
      <c r="D217" s="916" t="s">
        <v>3660</v>
      </c>
      <c r="E217" s="916"/>
      <c r="F217" s="916" t="s">
        <v>3692</v>
      </c>
      <c r="G217" s="915"/>
      <c r="H217" s="917">
        <v>129000</v>
      </c>
      <c r="I217" s="918"/>
      <c r="J217" s="918"/>
    </row>
    <row r="218" spans="1:10">
      <c r="A218" t="s">
        <v>4220</v>
      </c>
      <c r="B218" s="915" t="s">
        <v>4190</v>
      </c>
      <c r="C218" s="915" t="str">
        <f t="shared" si="3"/>
        <v>6월</v>
      </c>
      <c r="D218" s="916" t="s">
        <v>4191</v>
      </c>
      <c r="E218" s="916" t="s">
        <v>4150</v>
      </c>
      <c r="F218" s="916" t="s">
        <v>4151</v>
      </c>
      <c r="G218" s="915" t="s">
        <v>4152</v>
      </c>
      <c r="H218" s="917">
        <v>126370</v>
      </c>
      <c r="I218" s="918"/>
      <c r="J218" s="918"/>
    </row>
    <row r="219" spans="1:10">
      <c r="A219" t="s">
        <v>4148</v>
      </c>
      <c r="B219" s="915" t="s">
        <v>4133</v>
      </c>
      <c r="C219" s="915" t="str">
        <f t="shared" si="3"/>
        <v>3월</v>
      </c>
      <c r="D219" s="916" t="s">
        <v>4134</v>
      </c>
      <c r="E219" s="916" t="s">
        <v>4135</v>
      </c>
      <c r="F219" s="916" t="s">
        <v>4136</v>
      </c>
      <c r="G219" s="915"/>
      <c r="H219" s="917">
        <v>126220</v>
      </c>
      <c r="I219" s="918"/>
      <c r="J219" s="917">
        <v>1326220</v>
      </c>
    </row>
    <row r="220" spans="1:10">
      <c r="A220" t="s">
        <v>4220</v>
      </c>
      <c r="B220" s="915" t="s">
        <v>4215</v>
      </c>
      <c r="C220" s="915" t="str">
        <f t="shared" si="3"/>
        <v>12월</v>
      </c>
      <c r="D220" s="916" t="s">
        <v>4149</v>
      </c>
      <c r="E220" s="916" t="s">
        <v>4150</v>
      </c>
      <c r="F220" s="916" t="s">
        <v>4218</v>
      </c>
      <c r="G220" s="915" t="s">
        <v>4152</v>
      </c>
      <c r="H220" s="917">
        <v>123830</v>
      </c>
      <c r="I220" s="918"/>
      <c r="J220" s="917">
        <v>8699630</v>
      </c>
    </row>
    <row r="221" spans="1:10">
      <c r="A221" t="s">
        <v>4010</v>
      </c>
      <c r="B221" s="915" t="s">
        <v>3974</v>
      </c>
      <c r="C221" s="915" t="str">
        <f t="shared" si="3"/>
        <v>9월</v>
      </c>
      <c r="D221" s="916" t="s">
        <v>3975</v>
      </c>
      <c r="E221" s="916"/>
      <c r="F221" s="916"/>
      <c r="G221" s="915"/>
      <c r="H221" s="917">
        <v>122820</v>
      </c>
      <c r="I221" s="918"/>
      <c r="J221" s="918"/>
    </row>
    <row r="222" spans="1:10">
      <c r="A222" t="s">
        <v>3871</v>
      </c>
      <c r="B222" s="915" t="s">
        <v>3735</v>
      </c>
      <c r="C222" s="915" t="str">
        <f t="shared" si="3"/>
        <v>5월</v>
      </c>
      <c r="D222" s="916" t="s">
        <v>3703</v>
      </c>
      <c r="E222" s="916"/>
      <c r="F222" s="916" t="s">
        <v>3736</v>
      </c>
      <c r="G222" s="915"/>
      <c r="H222" s="917">
        <v>121170</v>
      </c>
      <c r="I222" s="918"/>
      <c r="J222" s="917">
        <v>-915020</v>
      </c>
    </row>
    <row r="223" spans="1:10">
      <c r="A223" t="s">
        <v>4220</v>
      </c>
      <c r="B223" s="915" t="s">
        <v>3838</v>
      </c>
      <c r="C223" s="915" t="str">
        <f t="shared" si="3"/>
        <v>11월</v>
      </c>
      <c r="D223" s="916" t="s">
        <v>4157</v>
      </c>
      <c r="E223" s="916"/>
      <c r="F223" s="916" t="s">
        <v>4156</v>
      </c>
      <c r="G223" s="915"/>
      <c r="H223" s="917">
        <v>121090</v>
      </c>
      <c r="I223" s="918"/>
      <c r="J223" s="918"/>
    </row>
    <row r="224" spans="1:10">
      <c r="A224" t="s">
        <v>4010</v>
      </c>
      <c r="B224" s="915" t="s">
        <v>3864</v>
      </c>
      <c r="C224" s="915" t="str">
        <f t="shared" si="3"/>
        <v>12월</v>
      </c>
      <c r="D224" s="916" t="s">
        <v>4005</v>
      </c>
      <c r="E224" s="916"/>
      <c r="F224" s="916" t="s">
        <v>4006</v>
      </c>
      <c r="G224" s="915"/>
      <c r="H224" s="917">
        <v>121070</v>
      </c>
      <c r="I224" s="918"/>
      <c r="J224" s="917">
        <v>4054181</v>
      </c>
    </row>
    <row r="225" spans="1:10">
      <c r="A225" t="s">
        <v>3871</v>
      </c>
      <c r="B225" s="915" t="s">
        <v>3700</v>
      </c>
      <c r="C225" s="915" t="str">
        <f t="shared" si="3"/>
        <v>3월</v>
      </c>
      <c r="D225" s="916" t="s">
        <v>3660</v>
      </c>
      <c r="E225" s="916"/>
      <c r="F225" s="916" t="s">
        <v>3701</v>
      </c>
      <c r="G225" s="915"/>
      <c r="H225" s="917">
        <v>120000</v>
      </c>
      <c r="I225" s="918"/>
      <c r="J225" s="918"/>
    </row>
    <row r="226" spans="1:10">
      <c r="A226" t="s">
        <v>3871</v>
      </c>
      <c r="B226" s="915" t="s">
        <v>3739</v>
      </c>
      <c r="C226" s="915" t="str">
        <f t="shared" si="3"/>
        <v>5월</v>
      </c>
      <c r="D226" s="916" t="s">
        <v>3740</v>
      </c>
      <c r="E226" s="916"/>
      <c r="F226" s="916" t="s">
        <v>3744</v>
      </c>
      <c r="G226" s="915"/>
      <c r="H226" s="917">
        <v>118800</v>
      </c>
      <c r="I226" s="918"/>
      <c r="J226" s="917">
        <v>-504420</v>
      </c>
    </row>
    <row r="227" spans="1:10">
      <c r="A227" t="s">
        <v>4010</v>
      </c>
      <c r="B227" s="915" t="s">
        <v>3616</v>
      </c>
      <c r="C227" s="915" t="str">
        <f t="shared" si="3"/>
        <v>9월</v>
      </c>
      <c r="D227" s="916" t="s">
        <v>3978</v>
      </c>
      <c r="E227" s="916"/>
      <c r="F227" s="916" t="s">
        <v>3940</v>
      </c>
      <c r="G227" s="915"/>
      <c r="H227" s="917">
        <v>117000</v>
      </c>
      <c r="I227" s="918"/>
      <c r="J227" s="918"/>
    </row>
    <row r="228" spans="1:10">
      <c r="A228" t="s">
        <v>4292</v>
      </c>
      <c r="B228" s="915" t="s">
        <v>4137</v>
      </c>
      <c r="C228" s="915" t="str">
        <f t="shared" si="3"/>
        <v>3월</v>
      </c>
      <c r="D228" s="916" t="s">
        <v>4241</v>
      </c>
      <c r="E228" s="916"/>
      <c r="F228" s="916" t="s">
        <v>4222</v>
      </c>
      <c r="G228" s="915"/>
      <c r="H228" s="917">
        <v>114500</v>
      </c>
      <c r="I228" s="918"/>
      <c r="J228" s="917">
        <v>259310</v>
      </c>
    </row>
    <row r="229" spans="1:10">
      <c r="A229" t="s">
        <v>4220</v>
      </c>
      <c r="B229" s="915" t="s">
        <v>3898</v>
      </c>
      <c r="C229" s="915" t="str">
        <f t="shared" si="3"/>
        <v>10월</v>
      </c>
      <c r="D229" s="916" t="s">
        <v>4157</v>
      </c>
      <c r="E229" s="916"/>
      <c r="F229" s="916" t="s">
        <v>4156</v>
      </c>
      <c r="G229" s="915"/>
      <c r="H229" s="917">
        <v>112150</v>
      </c>
      <c r="I229" s="918"/>
      <c r="J229" s="918"/>
    </row>
    <row r="230" spans="1:10">
      <c r="A230" t="s">
        <v>4292</v>
      </c>
      <c r="B230" s="915" t="s">
        <v>4143</v>
      </c>
      <c r="C230" s="915" t="str">
        <f t="shared" si="3"/>
        <v>9월</v>
      </c>
      <c r="D230" s="916" t="s">
        <v>4272</v>
      </c>
      <c r="E230" s="916"/>
      <c r="F230" s="916" t="s">
        <v>4222</v>
      </c>
      <c r="G230" s="915"/>
      <c r="H230" s="917">
        <v>112130</v>
      </c>
      <c r="I230" s="918"/>
      <c r="J230" s="917">
        <v>1063470</v>
      </c>
    </row>
    <row r="231" spans="1:10">
      <c r="A231" t="s">
        <v>3871</v>
      </c>
      <c r="B231" s="915" t="s">
        <v>3737</v>
      </c>
      <c r="C231" s="915" t="str">
        <f t="shared" si="3"/>
        <v>5월</v>
      </c>
      <c r="D231" s="916" t="s">
        <v>3641</v>
      </c>
      <c r="E231" s="916"/>
      <c r="F231" s="916" t="s">
        <v>3738</v>
      </c>
      <c r="G231" s="915"/>
      <c r="H231" s="917">
        <v>112000</v>
      </c>
      <c r="I231" s="918"/>
      <c r="J231" s="918"/>
    </row>
    <row r="232" spans="1:10">
      <c r="A232" t="s">
        <v>4220</v>
      </c>
      <c r="B232" s="915" t="s">
        <v>3772</v>
      </c>
      <c r="C232" s="915" t="str">
        <f t="shared" si="3"/>
        <v>7월</v>
      </c>
      <c r="D232" s="916" t="s">
        <v>4157</v>
      </c>
      <c r="E232" s="916"/>
      <c r="F232" s="916" t="s">
        <v>4156</v>
      </c>
      <c r="G232" s="915"/>
      <c r="H232" s="917">
        <v>111970</v>
      </c>
      <c r="I232" s="918"/>
      <c r="J232" s="918"/>
    </row>
    <row r="233" spans="1:10">
      <c r="A233" t="s">
        <v>4292</v>
      </c>
      <c r="B233" s="915" t="s">
        <v>4141</v>
      </c>
      <c r="C233" s="915" t="str">
        <f t="shared" si="3"/>
        <v>7월</v>
      </c>
      <c r="D233" s="916" t="s">
        <v>4264</v>
      </c>
      <c r="E233" s="916"/>
      <c r="F233" s="916" t="s">
        <v>4265</v>
      </c>
      <c r="G233" s="915"/>
      <c r="H233" s="917">
        <v>111410</v>
      </c>
      <c r="I233" s="918"/>
      <c r="J233" s="917">
        <v>361010</v>
      </c>
    </row>
    <row r="234" spans="1:10">
      <c r="A234" t="s">
        <v>4292</v>
      </c>
      <c r="B234" s="915" t="s">
        <v>3974</v>
      </c>
      <c r="C234" s="915" t="str">
        <f t="shared" si="3"/>
        <v>9월</v>
      </c>
      <c r="D234" s="916" t="s">
        <v>3976</v>
      </c>
      <c r="E234" s="916"/>
      <c r="F234" s="916"/>
      <c r="G234" s="915"/>
      <c r="H234" s="917">
        <v>111410</v>
      </c>
      <c r="I234" s="918"/>
      <c r="J234" s="917">
        <v>921640</v>
      </c>
    </row>
    <row r="235" spans="1:10">
      <c r="A235" t="s">
        <v>4292</v>
      </c>
      <c r="B235" s="915" t="s">
        <v>3838</v>
      </c>
      <c r="C235" s="915" t="str">
        <f t="shared" si="3"/>
        <v>11월</v>
      </c>
      <c r="D235" s="916" t="s">
        <v>4285</v>
      </c>
      <c r="E235" s="916"/>
      <c r="F235" s="916" t="s">
        <v>4222</v>
      </c>
      <c r="G235" s="915"/>
      <c r="H235" s="917">
        <v>110810</v>
      </c>
      <c r="I235" s="918"/>
      <c r="J235" s="917">
        <v>1319810</v>
      </c>
    </row>
    <row r="236" spans="1:10">
      <c r="A236" t="s">
        <v>3871</v>
      </c>
      <c r="B236" s="915" t="s">
        <v>3649</v>
      </c>
      <c r="C236" s="915" t="str">
        <f t="shared" si="3"/>
        <v>1월</v>
      </c>
      <c r="D236" s="916" t="s">
        <v>3651</v>
      </c>
      <c r="E236" s="916"/>
      <c r="F236" s="916" t="s">
        <v>3652</v>
      </c>
      <c r="G236" s="915"/>
      <c r="H236" s="917">
        <v>110000</v>
      </c>
      <c r="I236" s="918"/>
      <c r="J236" s="918"/>
    </row>
    <row r="237" spans="1:10">
      <c r="A237" t="s">
        <v>3871</v>
      </c>
      <c r="B237" s="915" t="s">
        <v>3747</v>
      </c>
      <c r="C237" s="915" t="str">
        <f t="shared" si="3"/>
        <v>5월</v>
      </c>
      <c r="D237" s="916" t="s">
        <v>3641</v>
      </c>
      <c r="E237" s="916"/>
      <c r="F237" s="916" t="s">
        <v>3716</v>
      </c>
      <c r="G237" s="915"/>
      <c r="H237" s="917">
        <v>110000</v>
      </c>
      <c r="I237" s="918"/>
      <c r="J237" s="917">
        <v>-340069</v>
      </c>
    </row>
    <row r="238" spans="1:10">
      <c r="A238" t="s">
        <v>4128</v>
      </c>
      <c r="B238" s="915" t="s">
        <v>4118</v>
      </c>
      <c r="C238" s="915" t="str">
        <f t="shared" si="3"/>
        <v>7월</v>
      </c>
      <c r="D238" s="916" t="s">
        <v>4120</v>
      </c>
      <c r="E238" s="916"/>
      <c r="F238" s="916" t="s">
        <v>4112</v>
      </c>
      <c r="G238" s="915"/>
      <c r="H238" s="917">
        <v>109750</v>
      </c>
      <c r="I238" s="918"/>
      <c r="J238" s="917">
        <v>3182962</v>
      </c>
    </row>
    <row r="239" spans="1:10">
      <c r="A239" t="s">
        <v>4292</v>
      </c>
      <c r="B239" s="915" t="s">
        <v>4129</v>
      </c>
      <c r="C239" s="915" t="str">
        <f t="shared" si="3"/>
        <v>1월</v>
      </c>
      <c r="D239" s="916" t="s">
        <v>4221</v>
      </c>
      <c r="E239" s="916"/>
      <c r="F239" s="916" t="s">
        <v>4222</v>
      </c>
      <c r="G239" s="915"/>
      <c r="H239" s="917">
        <v>109370</v>
      </c>
      <c r="I239" s="918"/>
      <c r="J239" s="917">
        <v>109370</v>
      </c>
    </row>
    <row r="240" spans="1:10">
      <c r="A240" t="s">
        <v>3871</v>
      </c>
      <c r="B240" s="915" t="s">
        <v>3687</v>
      </c>
      <c r="C240" s="915" t="str">
        <f t="shared" si="3"/>
        <v>2월</v>
      </c>
      <c r="D240" s="916" t="s">
        <v>3641</v>
      </c>
      <c r="E240" s="916"/>
      <c r="F240" s="916" t="s">
        <v>3652</v>
      </c>
      <c r="G240" s="915"/>
      <c r="H240" s="917">
        <v>105600</v>
      </c>
      <c r="I240" s="918"/>
      <c r="J240" s="917">
        <v>1399110</v>
      </c>
    </row>
    <row r="241" spans="1:10">
      <c r="A241" t="s">
        <v>4220</v>
      </c>
      <c r="B241" s="915" t="s">
        <v>3932</v>
      </c>
      <c r="C241" s="915" t="str">
        <f t="shared" si="3"/>
        <v>1월</v>
      </c>
      <c r="D241" s="916" t="s">
        <v>4155</v>
      </c>
      <c r="E241" s="916"/>
      <c r="F241" s="916" t="s">
        <v>4156</v>
      </c>
      <c r="G241" s="915"/>
      <c r="H241" s="917">
        <v>105210</v>
      </c>
      <c r="I241" s="918"/>
      <c r="J241" s="918"/>
    </row>
    <row r="242" spans="1:10">
      <c r="A242" t="s">
        <v>3871</v>
      </c>
      <c r="B242" s="915" t="s">
        <v>3725</v>
      </c>
      <c r="C242" s="915" t="str">
        <f t="shared" si="3"/>
        <v>4월</v>
      </c>
      <c r="D242" s="916" t="s">
        <v>3641</v>
      </c>
      <c r="E242" s="916"/>
      <c r="F242" s="916" t="s">
        <v>3726</v>
      </c>
      <c r="G242" s="915"/>
      <c r="H242" s="917">
        <v>102500</v>
      </c>
      <c r="I242" s="918"/>
      <c r="J242" s="917">
        <v>-1233990</v>
      </c>
    </row>
    <row r="243" spans="1:10">
      <c r="A243" t="s">
        <v>4292</v>
      </c>
      <c r="B243" s="915" t="s">
        <v>3685</v>
      </c>
      <c r="C243" s="915" t="str">
        <f t="shared" si="3"/>
        <v>2월</v>
      </c>
      <c r="D243" s="916" t="s">
        <v>4232</v>
      </c>
      <c r="E243" s="916" t="s">
        <v>4233</v>
      </c>
      <c r="F243" s="916" t="s">
        <v>4234</v>
      </c>
      <c r="G243" s="915" t="s">
        <v>4235</v>
      </c>
      <c r="H243" s="917">
        <v>100870</v>
      </c>
      <c r="I243" s="918"/>
      <c r="J243" s="917">
        <v>206090</v>
      </c>
    </row>
    <row r="244" spans="1:10">
      <c r="A244" t="s">
        <v>4220</v>
      </c>
      <c r="B244" s="915" t="s">
        <v>3687</v>
      </c>
      <c r="C244" s="915" t="str">
        <f t="shared" si="3"/>
        <v>2월</v>
      </c>
      <c r="D244" s="916" t="s">
        <v>4155</v>
      </c>
      <c r="E244" s="916" t="s">
        <v>4171</v>
      </c>
      <c r="F244" s="916" t="s">
        <v>4172</v>
      </c>
      <c r="G244" s="915" t="s">
        <v>4173</v>
      </c>
      <c r="H244" s="917">
        <v>100700</v>
      </c>
      <c r="I244" s="918"/>
      <c r="J244" s="917">
        <v>2423440</v>
      </c>
    </row>
    <row r="245" spans="1:10" ht="22.5">
      <c r="A245" t="s">
        <v>4064</v>
      </c>
      <c r="B245" s="915" t="s">
        <v>3687</v>
      </c>
      <c r="C245" s="915" t="str">
        <f t="shared" si="3"/>
        <v>2월</v>
      </c>
      <c r="D245" s="916" t="s">
        <v>4015</v>
      </c>
      <c r="E245" s="916"/>
      <c r="F245" s="916" t="s">
        <v>4016</v>
      </c>
      <c r="G245" s="915"/>
      <c r="H245" s="917">
        <v>100000</v>
      </c>
      <c r="I245" s="918"/>
      <c r="J245" s="917">
        <v>32070</v>
      </c>
    </row>
    <row r="246" spans="1:10">
      <c r="A246" t="s">
        <v>4064</v>
      </c>
      <c r="B246" s="915" t="s">
        <v>4025</v>
      </c>
      <c r="C246" s="915" t="str">
        <f t="shared" si="3"/>
        <v>5월</v>
      </c>
      <c r="D246" s="916" t="s">
        <v>4026</v>
      </c>
      <c r="E246" s="916"/>
      <c r="F246" s="916" t="s">
        <v>4027</v>
      </c>
      <c r="G246" s="915"/>
      <c r="H246" s="917">
        <v>100000</v>
      </c>
      <c r="I246" s="918"/>
      <c r="J246" s="918"/>
    </row>
    <row r="247" spans="1:10">
      <c r="A247" t="s">
        <v>4064</v>
      </c>
      <c r="B247" s="915" t="s">
        <v>3739</v>
      </c>
      <c r="C247" s="915" t="str">
        <f t="shared" si="3"/>
        <v>5월</v>
      </c>
      <c r="D247" s="916" t="s">
        <v>4030</v>
      </c>
      <c r="E247" s="916"/>
      <c r="F247" s="916" t="s">
        <v>3275</v>
      </c>
      <c r="G247" s="915"/>
      <c r="H247" s="917">
        <v>100000</v>
      </c>
      <c r="I247" s="918"/>
      <c r="J247" s="917">
        <v>70705</v>
      </c>
    </row>
    <row r="248" spans="1:10" ht="22.5">
      <c r="A248" t="s">
        <v>4064</v>
      </c>
      <c r="B248" s="915" t="s">
        <v>4035</v>
      </c>
      <c r="C248" s="915" t="str">
        <f t="shared" si="3"/>
        <v>6월</v>
      </c>
      <c r="D248" s="916" t="s">
        <v>4036</v>
      </c>
      <c r="E248" s="916"/>
      <c r="F248" s="916" t="s">
        <v>4037</v>
      </c>
      <c r="G248" s="915"/>
      <c r="H248" s="917">
        <v>100000</v>
      </c>
      <c r="I248" s="918"/>
      <c r="J248" s="917">
        <v>358805</v>
      </c>
    </row>
    <row r="249" spans="1:10">
      <c r="A249" t="s">
        <v>3871</v>
      </c>
      <c r="B249" s="915" t="s">
        <v>3676</v>
      </c>
      <c r="C249" s="915" t="str">
        <f t="shared" si="3"/>
        <v>2월</v>
      </c>
      <c r="D249" s="916" t="s">
        <v>3677</v>
      </c>
      <c r="E249" s="916"/>
      <c r="F249" s="916" t="s">
        <v>3650</v>
      </c>
      <c r="G249" s="915"/>
      <c r="H249" s="917">
        <v>100000</v>
      </c>
      <c r="I249" s="918"/>
      <c r="J249" s="917">
        <v>932010</v>
      </c>
    </row>
    <row r="250" spans="1:10">
      <c r="A250" t="s">
        <v>3871</v>
      </c>
      <c r="B250" s="915" t="s">
        <v>3754</v>
      </c>
      <c r="C250" s="915" t="str">
        <f t="shared" si="3"/>
        <v>6월</v>
      </c>
      <c r="D250" s="916" t="s">
        <v>3755</v>
      </c>
      <c r="E250" s="916"/>
      <c r="F250" s="916" t="s">
        <v>3756</v>
      </c>
      <c r="G250" s="915"/>
      <c r="H250" s="917">
        <v>100000</v>
      </c>
      <c r="I250" s="918"/>
      <c r="J250" s="917">
        <v>162031</v>
      </c>
    </row>
    <row r="251" spans="1:10">
      <c r="A251" t="s">
        <v>4765</v>
      </c>
      <c r="B251" s="915" t="s">
        <v>4139</v>
      </c>
      <c r="C251" s="915" t="str">
        <f t="shared" si="3"/>
        <v>5월</v>
      </c>
      <c r="D251" s="916" t="s">
        <v>4699</v>
      </c>
      <c r="E251" s="916" t="s">
        <v>4700</v>
      </c>
      <c r="F251" s="916" t="s">
        <v>4701</v>
      </c>
      <c r="G251" s="915" t="s">
        <v>4702</v>
      </c>
      <c r="H251" s="917">
        <v>100000</v>
      </c>
      <c r="I251" s="918"/>
      <c r="J251" s="917">
        <v>5687200</v>
      </c>
    </row>
    <row r="252" spans="1:10">
      <c r="A252" t="s">
        <v>4765</v>
      </c>
      <c r="B252" s="915" t="s">
        <v>3776</v>
      </c>
      <c r="C252" s="915" t="str">
        <f t="shared" si="3"/>
        <v>7월</v>
      </c>
      <c r="D252" s="916" t="s">
        <v>4699</v>
      </c>
      <c r="E252" s="916" t="s">
        <v>4700</v>
      </c>
      <c r="F252" s="916" t="s">
        <v>4701</v>
      </c>
      <c r="G252" s="915" t="s">
        <v>4702</v>
      </c>
      <c r="H252" s="917">
        <v>100000</v>
      </c>
      <c r="I252" s="918"/>
      <c r="J252" s="918"/>
    </row>
    <row r="253" spans="1:10">
      <c r="A253" t="s">
        <v>4765</v>
      </c>
      <c r="B253" s="915" t="s">
        <v>4532</v>
      </c>
      <c r="C253" s="915" t="str">
        <f t="shared" si="3"/>
        <v>8월</v>
      </c>
      <c r="D253" s="916" t="s">
        <v>4699</v>
      </c>
      <c r="E253" s="916" t="s">
        <v>4700</v>
      </c>
      <c r="F253" s="916" t="s">
        <v>4701</v>
      </c>
      <c r="G253" s="915" t="s">
        <v>4702</v>
      </c>
      <c r="H253" s="917">
        <v>100000</v>
      </c>
      <c r="I253" s="918"/>
      <c r="J253" s="918"/>
    </row>
    <row r="254" spans="1:10">
      <c r="A254" t="s">
        <v>4765</v>
      </c>
      <c r="B254" s="915" t="s">
        <v>3806</v>
      </c>
      <c r="C254" s="915" t="str">
        <f t="shared" si="3"/>
        <v>9월</v>
      </c>
      <c r="D254" s="916" t="s">
        <v>4699</v>
      </c>
      <c r="E254" s="916" t="s">
        <v>4700</v>
      </c>
      <c r="F254" s="916" t="s">
        <v>4701</v>
      </c>
      <c r="G254" s="915" t="s">
        <v>4702</v>
      </c>
      <c r="H254" s="917">
        <v>100000</v>
      </c>
      <c r="I254" s="918"/>
      <c r="J254" s="917">
        <v>17786580</v>
      </c>
    </row>
    <row r="255" spans="1:10">
      <c r="A255" t="s">
        <v>4765</v>
      </c>
      <c r="B255" s="915" t="s">
        <v>3829</v>
      </c>
      <c r="C255" s="915" t="str">
        <f t="shared" si="3"/>
        <v>11월</v>
      </c>
      <c r="D255" s="916" t="s">
        <v>4699</v>
      </c>
      <c r="E255" s="916" t="s">
        <v>4700</v>
      </c>
      <c r="F255" s="916" t="s">
        <v>4701</v>
      </c>
      <c r="G255" s="915" t="s">
        <v>4702</v>
      </c>
      <c r="H255" s="917">
        <v>100000</v>
      </c>
      <c r="I255" s="918"/>
      <c r="J255" s="917">
        <v>21006580</v>
      </c>
    </row>
    <row r="256" spans="1:10">
      <c r="A256" t="s">
        <v>4765</v>
      </c>
      <c r="B256" s="915" t="s">
        <v>4355</v>
      </c>
      <c r="C256" s="915" t="str">
        <f t="shared" si="3"/>
        <v>12월</v>
      </c>
      <c r="D256" s="916" t="s">
        <v>4749</v>
      </c>
      <c r="E256" s="916" t="s">
        <v>4689</v>
      </c>
      <c r="F256" s="916" t="s">
        <v>4690</v>
      </c>
      <c r="G256" s="915" t="s">
        <v>4691</v>
      </c>
      <c r="H256" s="917">
        <v>100000</v>
      </c>
      <c r="I256" s="918"/>
      <c r="J256" s="917">
        <v>23344380</v>
      </c>
    </row>
    <row r="257" spans="1:10">
      <c r="A257" t="s">
        <v>4765</v>
      </c>
      <c r="B257" s="915" t="s">
        <v>3864</v>
      </c>
      <c r="C257" s="915" t="str">
        <f t="shared" si="3"/>
        <v>12월</v>
      </c>
      <c r="D257" s="916" t="s">
        <v>4699</v>
      </c>
      <c r="E257" s="916" t="s">
        <v>4700</v>
      </c>
      <c r="F257" s="916" t="s">
        <v>4701</v>
      </c>
      <c r="G257" s="915" t="s">
        <v>4702</v>
      </c>
      <c r="H257" s="917">
        <v>100000</v>
      </c>
      <c r="I257" s="918"/>
      <c r="J257" s="917">
        <v>26063380</v>
      </c>
    </row>
    <row r="258" spans="1:10">
      <c r="A258" t="s">
        <v>3871</v>
      </c>
      <c r="B258" s="915" t="s">
        <v>3787</v>
      </c>
      <c r="C258" s="915" t="str">
        <f t="shared" ref="C258:C321" si="4">MONTH(B258)&amp;"월"</f>
        <v>9월</v>
      </c>
      <c r="D258" s="916" t="s">
        <v>3641</v>
      </c>
      <c r="E258" s="916"/>
      <c r="F258" s="916" t="s">
        <v>3626</v>
      </c>
      <c r="G258" s="915"/>
      <c r="H258" s="917">
        <v>98000</v>
      </c>
      <c r="I258" s="918"/>
      <c r="J258" s="917">
        <v>1267581</v>
      </c>
    </row>
    <row r="259" spans="1:10">
      <c r="A259" t="s">
        <v>4220</v>
      </c>
      <c r="B259" s="915" t="s">
        <v>4215</v>
      </c>
      <c r="C259" s="915" t="str">
        <f t="shared" si="4"/>
        <v>12월</v>
      </c>
      <c r="D259" s="916" t="s">
        <v>4149</v>
      </c>
      <c r="E259" s="916" t="s">
        <v>4150</v>
      </c>
      <c r="F259" s="916" t="s">
        <v>4217</v>
      </c>
      <c r="G259" s="915" t="s">
        <v>4152</v>
      </c>
      <c r="H259" s="917">
        <v>97910</v>
      </c>
      <c r="I259" s="918"/>
      <c r="J259" s="918"/>
    </row>
    <row r="260" spans="1:10">
      <c r="A260" t="s">
        <v>4220</v>
      </c>
      <c r="B260" s="915" t="s">
        <v>4219</v>
      </c>
      <c r="C260" s="915" t="str">
        <f t="shared" si="4"/>
        <v>12월</v>
      </c>
      <c r="D260" s="916" t="s">
        <v>4155</v>
      </c>
      <c r="E260" s="916" t="s">
        <v>4171</v>
      </c>
      <c r="F260" s="916" t="s">
        <v>4172</v>
      </c>
      <c r="G260" s="915" t="s">
        <v>4173</v>
      </c>
      <c r="H260" s="917">
        <v>97020</v>
      </c>
      <c r="I260" s="918"/>
      <c r="J260" s="917">
        <v>9207020</v>
      </c>
    </row>
    <row r="261" spans="1:10">
      <c r="A261" t="s">
        <v>4220</v>
      </c>
      <c r="B261" s="915" t="s">
        <v>3632</v>
      </c>
      <c r="C261" s="915" t="str">
        <f t="shared" si="4"/>
        <v>1월</v>
      </c>
      <c r="D261" s="916" t="s">
        <v>4149</v>
      </c>
      <c r="E261" s="916" t="s">
        <v>4150</v>
      </c>
      <c r="F261" s="916" t="s">
        <v>4151</v>
      </c>
      <c r="G261" s="915" t="s">
        <v>4152</v>
      </c>
      <c r="H261" s="917">
        <v>95160</v>
      </c>
      <c r="I261" s="918"/>
      <c r="J261" s="918"/>
    </row>
    <row r="262" spans="1:10">
      <c r="A262" t="s">
        <v>4220</v>
      </c>
      <c r="B262" s="915" t="s">
        <v>4205</v>
      </c>
      <c r="C262" s="915" t="str">
        <f t="shared" si="4"/>
        <v>8월</v>
      </c>
      <c r="D262" s="916" t="s">
        <v>4155</v>
      </c>
      <c r="E262" s="916" t="s">
        <v>4171</v>
      </c>
      <c r="F262" s="916" t="s">
        <v>4172</v>
      </c>
      <c r="G262" s="915" t="s">
        <v>4173</v>
      </c>
      <c r="H262" s="917">
        <v>94270</v>
      </c>
      <c r="I262" s="918"/>
      <c r="J262" s="918"/>
    </row>
    <row r="263" spans="1:10">
      <c r="A263" t="s">
        <v>4220</v>
      </c>
      <c r="B263" s="915" t="s">
        <v>4052</v>
      </c>
      <c r="C263" s="915" t="str">
        <f t="shared" si="4"/>
        <v>9월</v>
      </c>
      <c r="D263" s="916" t="s">
        <v>4155</v>
      </c>
      <c r="E263" s="916" t="s">
        <v>4171</v>
      </c>
      <c r="F263" s="916" t="s">
        <v>4172</v>
      </c>
      <c r="G263" s="915" t="s">
        <v>4173</v>
      </c>
      <c r="H263" s="917">
        <v>91070</v>
      </c>
      <c r="I263" s="918"/>
      <c r="J263" s="918"/>
    </row>
    <row r="264" spans="1:10">
      <c r="A264" t="s">
        <v>3871</v>
      </c>
      <c r="B264" s="915" t="s">
        <v>3728</v>
      </c>
      <c r="C264" s="915" t="str">
        <f t="shared" si="4"/>
        <v>5월</v>
      </c>
      <c r="D264" s="916" t="s">
        <v>3729</v>
      </c>
      <c r="E264" s="916"/>
      <c r="F264" s="916" t="s">
        <v>3730</v>
      </c>
      <c r="G264" s="915"/>
      <c r="H264" s="917">
        <v>91000</v>
      </c>
      <c r="I264" s="918"/>
      <c r="J264" s="918"/>
    </row>
    <row r="265" spans="1:10">
      <c r="A265" t="s">
        <v>4597</v>
      </c>
      <c r="B265" s="915" t="s">
        <v>3749</v>
      </c>
      <c r="C265" s="915" t="str">
        <f t="shared" si="4"/>
        <v>6월</v>
      </c>
      <c r="D265" s="916" t="s">
        <v>4453</v>
      </c>
      <c r="E265" s="916" t="s">
        <v>4369</v>
      </c>
      <c r="F265" s="916" t="s">
        <v>4370</v>
      </c>
      <c r="G265" s="915"/>
      <c r="H265" s="917">
        <v>90836</v>
      </c>
      <c r="I265" s="918"/>
      <c r="J265" s="917">
        <v>15778933</v>
      </c>
    </row>
    <row r="266" spans="1:10">
      <c r="A266" t="s">
        <v>4220</v>
      </c>
      <c r="B266" s="915" t="s">
        <v>3706</v>
      </c>
      <c r="C266" s="915" t="str">
        <f t="shared" si="4"/>
        <v>3월</v>
      </c>
      <c r="D266" s="916" t="s">
        <v>4155</v>
      </c>
      <c r="E266" s="916" t="s">
        <v>4171</v>
      </c>
      <c r="F266" s="916" t="s">
        <v>4172</v>
      </c>
      <c r="G266" s="915" t="s">
        <v>4173</v>
      </c>
      <c r="H266" s="917">
        <v>90440</v>
      </c>
      <c r="I266" s="918"/>
      <c r="J266" s="918"/>
    </row>
    <row r="267" spans="1:10">
      <c r="A267" t="s">
        <v>4597</v>
      </c>
      <c r="B267" s="915" t="s">
        <v>3889</v>
      </c>
      <c r="C267" s="915" t="str">
        <f t="shared" si="4"/>
        <v>7월</v>
      </c>
      <c r="D267" s="916" t="s">
        <v>4416</v>
      </c>
      <c r="E267" s="916" t="s">
        <v>4438</v>
      </c>
      <c r="F267" s="916" t="s">
        <v>4439</v>
      </c>
      <c r="G267" s="915"/>
      <c r="H267" s="917">
        <v>89583</v>
      </c>
      <c r="I267" s="918"/>
      <c r="J267" s="917">
        <v>17496843</v>
      </c>
    </row>
    <row r="268" spans="1:10">
      <c r="A268" t="s">
        <v>4220</v>
      </c>
      <c r="B268" s="915" t="s">
        <v>3720</v>
      </c>
      <c r="C268" s="915" t="str">
        <f t="shared" si="4"/>
        <v>4월</v>
      </c>
      <c r="D268" s="916" t="s">
        <v>4155</v>
      </c>
      <c r="E268" s="916" t="s">
        <v>4171</v>
      </c>
      <c r="F268" s="916" t="s">
        <v>4172</v>
      </c>
      <c r="G268" s="915" t="s">
        <v>4173</v>
      </c>
      <c r="H268" s="917">
        <v>88200</v>
      </c>
      <c r="I268" s="918"/>
      <c r="J268" s="918"/>
    </row>
    <row r="269" spans="1:10">
      <c r="A269" t="s">
        <v>3871</v>
      </c>
      <c r="B269" s="915" t="s">
        <v>3737</v>
      </c>
      <c r="C269" s="915" t="str">
        <f t="shared" si="4"/>
        <v>5월</v>
      </c>
      <c r="D269" s="916" t="s">
        <v>3641</v>
      </c>
      <c r="E269" s="916"/>
      <c r="F269" s="916" t="s">
        <v>3626</v>
      </c>
      <c r="G269" s="915"/>
      <c r="H269" s="917">
        <v>88000</v>
      </c>
      <c r="I269" s="918"/>
      <c r="J269" s="917">
        <v>-715020</v>
      </c>
    </row>
    <row r="270" spans="1:10">
      <c r="A270" t="s">
        <v>4220</v>
      </c>
      <c r="B270" s="915" t="s">
        <v>4186</v>
      </c>
      <c r="C270" s="915" t="str">
        <f t="shared" si="4"/>
        <v>5월</v>
      </c>
      <c r="D270" s="916" t="s">
        <v>4155</v>
      </c>
      <c r="E270" s="916" t="s">
        <v>4171</v>
      </c>
      <c r="F270" s="916" t="s">
        <v>4172</v>
      </c>
      <c r="G270" s="915" t="s">
        <v>4173</v>
      </c>
      <c r="H270" s="917">
        <v>86930</v>
      </c>
      <c r="I270" s="918"/>
      <c r="J270" s="918"/>
    </row>
    <row r="271" spans="1:10">
      <c r="A271" t="s">
        <v>4220</v>
      </c>
      <c r="B271" s="915" t="s">
        <v>3632</v>
      </c>
      <c r="C271" s="915" t="str">
        <f t="shared" si="4"/>
        <v>1월</v>
      </c>
      <c r="D271" s="916" t="s">
        <v>4149</v>
      </c>
      <c r="E271" s="916" t="s">
        <v>4150</v>
      </c>
      <c r="F271" s="916" t="s">
        <v>4151</v>
      </c>
      <c r="G271" s="915" t="s">
        <v>4152</v>
      </c>
      <c r="H271" s="917">
        <v>86590</v>
      </c>
      <c r="I271" s="918"/>
      <c r="J271" s="917">
        <v>462100</v>
      </c>
    </row>
    <row r="272" spans="1:10">
      <c r="A272" t="s">
        <v>4010</v>
      </c>
      <c r="B272" s="915" t="s">
        <v>3965</v>
      </c>
      <c r="C272" s="915" t="str">
        <f t="shared" si="4"/>
        <v>7월</v>
      </c>
      <c r="D272" s="916" t="s">
        <v>3966</v>
      </c>
      <c r="E272" s="916"/>
      <c r="F272" s="916" t="s">
        <v>3800</v>
      </c>
      <c r="G272" s="915"/>
      <c r="H272" s="917">
        <v>86000</v>
      </c>
      <c r="I272" s="918"/>
      <c r="J272" s="918"/>
    </row>
    <row r="273" spans="1:10">
      <c r="A273" t="s">
        <v>4220</v>
      </c>
      <c r="B273" s="915" t="s">
        <v>3838</v>
      </c>
      <c r="C273" s="915" t="str">
        <f t="shared" si="4"/>
        <v>11월</v>
      </c>
      <c r="D273" s="916" t="s">
        <v>4155</v>
      </c>
      <c r="E273" s="916" t="s">
        <v>4171</v>
      </c>
      <c r="F273" s="916" t="s">
        <v>4172</v>
      </c>
      <c r="G273" s="915" t="s">
        <v>4173</v>
      </c>
      <c r="H273" s="917">
        <v>85030</v>
      </c>
      <c r="I273" s="918"/>
      <c r="J273" s="918"/>
    </row>
    <row r="274" spans="1:10">
      <c r="A274" t="s">
        <v>4220</v>
      </c>
      <c r="B274" s="915" t="s">
        <v>3772</v>
      </c>
      <c r="C274" s="915" t="str">
        <f t="shared" si="4"/>
        <v>7월</v>
      </c>
      <c r="D274" s="916" t="s">
        <v>4155</v>
      </c>
      <c r="E274" s="916" t="s">
        <v>4171</v>
      </c>
      <c r="F274" s="916" t="s">
        <v>4172</v>
      </c>
      <c r="G274" s="915" t="s">
        <v>4173</v>
      </c>
      <c r="H274" s="917">
        <v>84270</v>
      </c>
      <c r="I274" s="918"/>
      <c r="J274" s="917">
        <v>6220850</v>
      </c>
    </row>
    <row r="275" spans="1:10">
      <c r="A275" t="s">
        <v>4220</v>
      </c>
      <c r="B275" s="915" t="s">
        <v>4140</v>
      </c>
      <c r="C275" s="915" t="str">
        <f t="shared" si="4"/>
        <v>6월</v>
      </c>
      <c r="D275" s="916" t="s">
        <v>4155</v>
      </c>
      <c r="E275" s="916" t="s">
        <v>4171</v>
      </c>
      <c r="F275" s="916" t="s">
        <v>4172</v>
      </c>
      <c r="G275" s="915" t="s">
        <v>4173</v>
      </c>
      <c r="H275" s="917">
        <v>82950</v>
      </c>
      <c r="I275" s="918"/>
      <c r="J275" s="917">
        <v>5489470</v>
      </c>
    </row>
    <row r="276" spans="1:10">
      <c r="A276" t="s">
        <v>4597</v>
      </c>
      <c r="B276" s="915" t="s">
        <v>3745</v>
      </c>
      <c r="C276" s="915" t="str">
        <f t="shared" si="4"/>
        <v>5월</v>
      </c>
      <c r="D276" s="916" t="s">
        <v>4394</v>
      </c>
      <c r="E276" s="916" t="s">
        <v>4369</v>
      </c>
      <c r="F276" s="916" t="s">
        <v>4370</v>
      </c>
      <c r="G276" s="915"/>
      <c r="H276" s="917">
        <v>80852</v>
      </c>
      <c r="I276" s="918"/>
      <c r="J276" s="917">
        <v>15934192</v>
      </c>
    </row>
    <row r="277" spans="1:10">
      <c r="A277" t="s">
        <v>3871</v>
      </c>
      <c r="B277" s="915" t="s">
        <v>3739</v>
      </c>
      <c r="C277" s="915" t="str">
        <f t="shared" si="4"/>
        <v>5월</v>
      </c>
      <c r="D277" s="916" t="s">
        <v>3740</v>
      </c>
      <c r="E277" s="916"/>
      <c r="F277" s="916" t="s">
        <v>3742</v>
      </c>
      <c r="G277" s="915"/>
      <c r="H277" s="917">
        <v>80500</v>
      </c>
      <c r="I277" s="918"/>
      <c r="J277" s="918"/>
    </row>
    <row r="278" spans="1:10">
      <c r="A278" t="s">
        <v>3871</v>
      </c>
      <c r="B278" s="915" t="s">
        <v>3700</v>
      </c>
      <c r="C278" s="915" t="str">
        <f t="shared" si="4"/>
        <v>3월</v>
      </c>
      <c r="D278" s="916" t="s">
        <v>3703</v>
      </c>
      <c r="E278" s="916"/>
      <c r="F278" s="916" t="s">
        <v>3704</v>
      </c>
      <c r="G278" s="915"/>
      <c r="H278" s="917">
        <v>80100</v>
      </c>
      <c r="I278" s="918"/>
      <c r="J278" s="917">
        <v>1828710</v>
      </c>
    </row>
    <row r="279" spans="1:10">
      <c r="A279" t="s">
        <v>3871</v>
      </c>
      <c r="B279" s="915" t="s">
        <v>3841</v>
      </c>
      <c r="C279" s="915" t="str">
        <f t="shared" si="4"/>
        <v>11월</v>
      </c>
      <c r="D279" s="916" t="s">
        <v>3660</v>
      </c>
      <c r="E279" s="916"/>
      <c r="F279" s="916" t="s">
        <v>3847</v>
      </c>
      <c r="G279" s="915"/>
      <c r="H279" s="917">
        <v>80100</v>
      </c>
      <c r="I279" s="918"/>
      <c r="J279" s="918"/>
    </row>
    <row r="280" spans="1:10">
      <c r="A280" t="s">
        <v>3871</v>
      </c>
      <c r="B280" s="915" t="s">
        <v>3788</v>
      </c>
      <c r="C280" s="915" t="str">
        <f t="shared" si="4"/>
        <v>9월</v>
      </c>
      <c r="D280" s="916" t="s">
        <v>3703</v>
      </c>
      <c r="E280" s="916"/>
      <c r="F280" s="916" t="s">
        <v>3793</v>
      </c>
      <c r="G280" s="915"/>
      <c r="H280" s="917">
        <v>79200</v>
      </c>
      <c r="I280" s="918"/>
      <c r="J280" s="918"/>
    </row>
    <row r="281" spans="1:10">
      <c r="A281" t="s">
        <v>3871</v>
      </c>
      <c r="B281" s="915" t="s">
        <v>3649</v>
      </c>
      <c r="C281" s="915" t="str">
        <f t="shared" si="4"/>
        <v>1월</v>
      </c>
      <c r="D281" s="916" t="s">
        <v>3658</v>
      </c>
      <c r="E281" s="916"/>
      <c r="F281" s="916" t="s">
        <v>3659</v>
      </c>
      <c r="G281" s="915"/>
      <c r="H281" s="917">
        <v>79000</v>
      </c>
      <c r="I281" s="918"/>
      <c r="J281" s="917">
        <v>641310</v>
      </c>
    </row>
    <row r="282" spans="1:10">
      <c r="A282" t="s">
        <v>4220</v>
      </c>
      <c r="B282" s="915" t="s">
        <v>3898</v>
      </c>
      <c r="C282" s="915" t="str">
        <f t="shared" si="4"/>
        <v>10월</v>
      </c>
      <c r="D282" s="916" t="s">
        <v>4155</v>
      </c>
      <c r="E282" s="916" t="s">
        <v>4171</v>
      </c>
      <c r="F282" s="916" t="s">
        <v>4172</v>
      </c>
      <c r="G282" s="915" t="s">
        <v>4173</v>
      </c>
      <c r="H282" s="917">
        <v>77800</v>
      </c>
      <c r="I282" s="918"/>
      <c r="J282" s="918"/>
    </row>
    <row r="283" spans="1:10">
      <c r="A283" t="s">
        <v>3871</v>
      </c>
      <c r="B283" s="915" t="s">
        <v>3841</v>
      </c>
      <c r="C283" s="915" t="str">
        <f t="shared" si="4"/>
        <v>11월</v>
      </c>
      <c r="D283" s="916" t="s">
        <v>3660</v>
      </c>
      <c r="E283" s="916"/>
      <c r="F283" s="916" t="s">
        <v>3848</v>
      </c>
      <c r="G283" s="915"/>
      <c r="H283" s="917">
        <v>77700</v>
      </c>
      <c r="I283" s="918"/>
      <c r="J283" s="918"/>
    </row>
    <row r="284" spans="1:10">
      <c r="A284" t="s">
        <v>3871</v>
      </c>
      <c r="B284" s="915" t="s">
        <v>3678</v>
      </c>
      <c r="C284" s="915" t="str">
        <f t="shared" si="4"/>
        <v>2월</v>
      </c>
      <c r="D284" s="916" t="s">
        <v>3641</v>
      </c>
      <c r="E284" s="916"/>
      <c r="F284" s="916" t="s">
        <v>3679</v>
      </c>
      <c r="G284" s="915"/>
      <c r="H284" s="917">
        <v>74000</v>
      </c>
      <c r="I284" s="918"/>
      <c r="J284" s="917">
        <v>1006010</v>
      </c>
    </row>
    <row r="285" spans="1:10">
      <c r="A285" t="s">
        <v>3871</v>
      </c>
      <c r="B285" s="915" t="s">
        <v>3649</v>
      </c>
      <c r="C285" s="915" t="str">
        <f t="shared" si="4"/>
        <v>1월</v>
      </c>
      <c r="D285" s="916" t="s">
        <v>3641</v>
      </c>
      <c r="E285" s="916"/>
      <c r="F285" s="916" t="s">
        <v>3650</v>
      </c>
      <c r="G285" s="915"/>
      <c r="H285" s="917">
        <v>73040</v>
      </c>
      <c r="I285" s="918"/>
      <c r="J285" s="918"/>
    </row>
    <row r="286" spans="1:10">
      <c r="A286" t="s">
        <v>4650</v>
      </c>
      <c r="B286" s="915" t="s">
        <v>3635</v>
      </c>
      <c r="C286" s="915" t="str">
        <f t="shared" si="4"/>
        <v>1월</v>
      </c>
      <c r="D286" s="916" t="s">
        <v>4298</v>
      </c>
      <c r="E286" s="916"/>
      <c r="F286" s="916" t="s">
        <v>4630</v>
      </c>
      <c r="G286" s="915"/>
      <c r="H286" s="917">
        <v>72800</v>
      </c>
      <c r="I286" s="918"/>
      <c r="J286" s="918"/>
    </row>
    <row r="287" spans="1:10">
      <c r="A287" t="s">
        <v>4010</v>
      </c>
      <c r="B287" s="915" t="s">
        <v>3725</v>
      </c>
      <c r="C287" s="915" t="str">
        <f t="shared" si="4"/>
        <v>4월</v>
      </c>
      <c r="D287" s="916" t="s">
        <v>3956</v>
      </c>
      <c r="E287" s="916"/>
      <c r="F287" s="916" t="s">
        <v>3726</v>
      </c>
      <c r="G287" s="915"/>
      <c r="H287" s="917">
        <v>72500</v>
      </c>
      <c r="I287" s="918"/>
      <c r="J287" s="917">
        <v>4220320</v>
      </c>
    </row>
    <row r="288" spans="1:10">
      <c r="A288" t="s">
        <v>3871</v>
      </c>
      <c r="B288" s="915" t="s">
        <v>3616</v>
      </c>
      <c r="C288" s="915" t="str">
        <f t="shared" si="4"/>
        <v>9월</v>
      </c>
      <c r="D288" s="916" t="s">
        <v>3803</v>
      </c>
      <c r="E288" s="916"/>
      <c r="F288" s="916" t="s">
        <v>3805</v>
      </c>
      <c r="G288" s="915"/>
      <c r="H288" s="917">
        <v>72100</v>
      </c>
      <c r="I288" s="918"/>
      <c r="J288" s="918"/>
    </row>
    <row r="289" spans="1:10">
      <c r="A289" t="s">
        <v>3871</v>
      </c>
      <c r="B289" s="915" t="s">
        <v>3748</v>
      </c>
      <c r="C289" s="915" t="str">
        <f t="shared" si="4"/>
        <v>6월</v>
      </c>
      <c r="D289" s="916" t="s">
        <v>3740</v>
      </c>
      <c r="E289" s="916"/>
      <c r="F289" s="916" t="s">
        <v>3716</v>
      </c>
      <c r="G289" s="915"/>
      <c r="H289" s="917">
        <v>72000</v>
      </c>
      <c r="I289" s="918"/>
      <c r="J289" s="918"/>
    </row>
    <row r="290" spans="1:10">
      <c r="A290" t="s">
        <v>3871</v>
      </c>
      <c r="B290" s="915" t="s">
        <v>3635</v>
      </c>
      <c r="C290" s="915" t="str">
        <f t="shared" si="4"/>
        <v>1월</v>
      </c>
      <c r="D290" s="916" t="s">
        <v>3636</v>
      </c>
      <c r="E290" s="916"/>
      <c r="F290" s="916" t="s">
        <v>3637</v>
      </c>
      <c r="G290" s="915"/>
      <c r="H290" s="917">
        <v>70970</v>
      </c>
      <c r="I290" s="918"/>
      <c r="J290" s="918"/>
    </row>
    <row r="291" spans="1:10" ht="33.75">
      <c r="A291" t="s">
        <v>4597</v>
      </c>
      <c r="B291" s="915" t="s">
        <v>3676</v>
      </c>
      <c r="C291" s="915" t="str">
        <f t="shared" si="4"/>
        <v>2월</v>
      </c>
      <c r="D291" s="916" t="s">
        <v>4380</v>
      </c>
      <c r="E291" s="916" t="s">
        <v>4381</v>
      </c>
      <c r="F291" s="916" t="s">
        <v>4382</v>
      </c>
      <c r="G291" s="915" t="s">
        <v>4383</v>
      </c>
      <c r="H291" s="917">
        <v>70180</v>
      </c>
      <c r="I291" s="918"/>
      <c r="J291" s="917">
        <v>720296</v>
      </c>
    </row>
    <row r="292" spans="1:10">
      <c r="A292" t="s">
        <v>4765</v>
      </c>
      <c r="B292" s="915" t="s">
        <v>3640</v>
      </c>
      <c r="C292" s="915" t="str">
        <f t="shared" si="4"/>
        <v>1월</v>
      </c>
      <c r="D292" s="916" t="s">
        <v>4662</v>
      </c>
      <c r="E292" s="916" t="s">
        <v>4663</v>
      </c>
      <c r="F292" s="916" t="s">
        <v>4664</v>
      </c>
      <c r="G292" s="915" t="s">
        <v>4665</v>
      </c>
      <c r="H292" s="917">
        <v>70000</v>
      </c>
      <c r="I292" s="918"/>
      <c r="J292" s="917">
        <v>370000</v>
      </c>
    </row>
    <row r="293" spans="1:10">
      <c r="A293" t="s">
        <v>4765</v>
      </c>
      <c r="B293" s="915" t="s">
        <v>4167</v>
      </c>
      <c r="C293" s="915" t="str">
        <f t="shared" si="4"/>
        <v>2월</v>
      </c>
      <c r="D293" s="916" t="s">
        <v>4662</v>
      </c>
      <c r="E293" s="916" t="s">
        <v>4663</v>
      </c>
      <c r="F293" s="916" t="s">
        <v>4664</v>
      </c>
      <c r="G293" s="915" t="s">
        <v>4665</v>
      </c>
      <c r="H293" s="917">
        <v>70000</v>
      </c>
      <c r="I293" s="918"/>
      <c r="J293" s="917">
        <v>1766700</v>
      </c>
    </row>
    <row r="294" spans="1:10">
      <c r="A294" t="s">
        <v>4765</v>
      </c>
      <c r="B294" s="915" t="s">
        <v>3698</v>
      </c>
      <c r="C294" s="915" t="str">
        <f t="shared" si="4"/>
        <v>3월</v>
      </c>
      <c r="D294" s="916" t="s">
        <v>4662</v>
      </c>
      <c r="E294" s="916" t="s">
        <v>4663</v>
      </c>
      <c r="F294" s="916" t="s">
        <v>4664</v>
      </c>
      <c r="G294" s="915" t="s">
        <v>4665</v>
      </c>
      <c r="H294" s="917">
        <v>70000</v>
      </c>
      <c r="I294" s="918"/>
      <c r="J294" s="917">
        <v>2812700</v>
      </c>
    </row>
    <row r="295" spans="1:10">
      <c r="A295" t="s">
        <v>4765</v>
      </c>
      <c r="B295" s="915" t="s">
        <v>4332</v>
      </c>
      <c r="C295" s="915" t="str">
        <f t="shared" si="4"/>
        <v>4월</v>
      </c>
      <c r="D295" s="916" t="s">
        <v>4662</v>
      </c>
      <c r="E295" s="916" t="s">
        <v>4663</v>
      </c>
      <c r="F295" s="916" t="s">
        <v>4664</v>
      </c>
      <c r="G295" s="915" t="s">
        <v>4665</v>
      </c>
      <c r="H295" s="917">
        <v>70000</v>
      </c>
      <c r="I295" s="918"/>
      <c r="J295" s="918"/>
    </row>
    <row r="296" spans="1:10">
      <c r="A296" t="s">
        <v>4765</v>
      </c>
      <c r="B296" s="915" t="s">
        <v>3747</v>
      </c>
      <c r="C296" s="915" t="str">
        <f t="shared" si="4"/>
        <v>5월</v>
      </c>
      <c r="D296" s="916" t="s">
        <v>4662</v>
      </c>
      <c r="E296" s="916" t="s">
        <v>4663</v>
      </c>
      <c r="F296" s="916" t="s">
        <v>4664</v>
      </c>
      <c r="G296" s="915" t="s">
        <v>4665</v>
      </c>
      <c r="H296" s="917">
        <v>70000</v>
      </c>
      <c r="I296" s="918"/>
      <c r="J296" s="918"/>
    </row>
    <row r="297" spans="1:10">
      <c r="A297" t="s">
        <v>4765</v>
      </c>
      <c r="B297" s="915" t="s">
        <v>3608</v>
      </c>
      <c r="C297" s="915" t="str">
        <f t="shared" si="4"/>
        <v>6월</v>
      </c>
      <c r="D297" s="916" t="s">
        <v>4662</v>
      </c>
      <c r="E297" s="916" t="s">
        <v>4663</v>
      </c>
      <c r="F297" s="916" t="s">
        <v>4664</v>
      </c>
      <c r="G297" s="915" t="s">
        <v>4665</v>
      </c>
      <c r="H297" s="917">
        <v>70000</v>
      </c>
      <c r="I297" s="918"/>
      <c r="J297" s="917">
        <v>10425780</v>
      </c>
    </row>
    <row r="298" spans="1:10">
      <c r="A298" t="s">
        <v>4765</v>
      </c>
      <c r="B298" s="915" t="s">
        <v>4719</v>
      </c>
      <c r="C298" s="915" t="str">
        <f t="shared" si="4"/>
        <v>7월</v>
      </c>
      <c r="D298" s="916" t="s">
        <v>4662</v>
      </c>
      <c r="E298" s="916" t="s">
        <v>4663</v>
      </c>
      <c r="F298" s="916" t="s">
        <v>4664</v>
      </c>
      <c r="G298" s="915" t="s">
        <v>4665</v>
      </c>
      <c r="H298" s="917">
        <v>70000</v>
      </c>
      <c r="I298" s="918"/>
      <c r="J298" s="917">
        <v>12267580</v>
      </c>
    </row>
    <row r="299" spans="1:10">
      <c r="A299" t="s">
        <v>4765</v>
      </c>
      <c r="B299" s="915" t="s">
        <v>4205</v>
      </c>
      <c r="C299" s="915" t="str">
        <f t="shared" si="4"/>
        <v>8월</v>
      </c>
      <c r="D299" s="916" t="s">
        <v>4662</v>
      </c>
      <c r="E299" s="916" t="s">
        <v>4663</v>
      </c>
      <c r="F299" s="916" t="s">
        <v>4664</v>
      </c>
      <c r="G299" s="915" t="s">
        <v>4665</v>
      </c>
      <c r="H299" s="917">
        <v>70000</v>
      </c>
      <c r="I299" s="918"/>
      <c r="J299" s="917">
        <v>15624580</v>
      </c>
    </row>
    <row r="300" spans="1:10">
      <c r="A300" t="s">
        <v>4765</v>
      </c>
      <c r="B300" s="915" t="s">
        <v>4532</v>
      </c>
      <c r="C300" s="915" t="str">
        <f t="shared" si="4"/>
        <v>8월</v>
      </c>
      <c r="D300" s="916" t="s">
        <v>4728</v>
      </c>
      <c r="E300" s="916" t="s">
        <v>4724</v>
      </c>
      <c r="F300" s="916" t="s">
        <v>4725</v>
      </c>
      <c r="G300" s="915" t="s">
        <v>4726</v>
      </c>
      <c r="H300" s="917">
        <v>70000</v>
      </c>
      <c r="I300" s="918"/>
      <c r="J300" s="918"/>
    </row>
    <row r="301" spans="1:10">
      <c r="A301" t="s">
        <v>4765</v>
      </c>
      <c r="B301" s="915" t="s">
        <v>4124</v>
      </c>
      <c r="C301" s="915" t="str">
        <f t="shared" si="4"/>
        <v>9월</v>
      </c>
      <c r="D301" s="916" t="s">
        <v>4662</v>
      </c>
      <c r="E301" s="916" t="s">
        <v>4663</v>
      </c>
      <c r="F301" s="916" t="s">
        <v>4664</v>
      </c>
      <c r="G301" s="915" t="s">
        <v>4665</v>
      </c>
      <c r="H301" s="917">
        <v>70000</v>
      </c>
      <c r="I301" s="918"/>
      <c r="J301" s="918"/>
    </row>
    <row r="302" spans="1:10">
      <c r="A302" t="s">
        <v>4765</v>
      </c>
      <c r="B302" s="915" t="s">
        <v>3807</v>
      </c>
      <c r="C302" s="915" t="str">
        <f t="shared" si="4"/>
        <v>10월</v>
      </c>
      <c r="D302" s="916" t="s">
        <v>4662</v>
      </c>
      <c r="E302" s="916" t="s">
        <v>4663</v>
      </c>
      <c r="F302" s="916" t="s">
        <v>4664</v>
      </c>
      <c r="G302" s="915" t="s">
        <v>4665</v>
      </c>
      <c r="H302" s="917">
        <v>70000</v>
      </c>
      <c r="I302" s="918"/>
      <c r="J302" s="918"/>
    </row>
    <row r="303" spans="1:10">
      <c r="A303" t="s">
        <v>4765</v>
      </c>
      <c r="B303" s="915" t="s">
        <v>3841</v>
      </c>
      <c r="C303" s="915" t="str">
        <f t="shared" si="4"/>
        <v>11월</v>
      </c>
      <c r="D303" s="916" t="s">
        <v>4662</v>
      </c>
      <c r="E303" s="916" t="s">
        <v>4663</v>
      </c>
      <c r="F303" s="916" t="s">
        <v>4664</v>
      </c>
      <c r="G303" s="915" t="s">
        <v>4665</v>
      </c>
      <c r="H303" s="917">
        <v>70000</v>
      </c>
      <c r="I303" s="918"/>
      <c r="J303" s="918"/>
    </row>
    <row r="304" spans="1:10">
      <c r="A304" t="s">
        <v>4765</v>
      </c>
      <c r="B304" s="915" t="s">
        <v>3330</v>
      </c>
      <c r="C304" s="915" t="str">
        <f t="shared" si="4"/>
        <v>12월</v>
      </c>
      <c r="D304" s="916" t="s">
        <v>4662</v>
      </c>
      <c r="E304" s="916" t="s">
        <v>4663</v>
      </c>
      <c r="F304" s="916" t="s">
        <v>4664</v>
      </c>
      <c r="G304" s="915" t="s">
        <v>4665</v>
      </c>
      <c r="H304" s="917">
        <v>70000</v>
      </c>
      <c r="I304" s="918"/>
      <c r="J304" s="917">
        <v>27868380</v>
      </c>
    </row>
    <row r="305" spans="1:10" ht="33.75">
      <c r="A305" t="s">
        <v>4597</v>
      </c>
      <c r="B305" s="915" t="s">
        <v>4525</v>
      </c>
      <c r="C305" s="915" t="str">
        <f t="shared" si="4"/>
        <v>8월</v>
      </c>
      <c r="D305" s="916" t="s">
        <v>4380</v>
      </c>
      <c r="E305" s="916" t="s">
        <v>4381</v>
      </c>
      <c r="F305" s="916" t="s">
        <v>4382</v>
      </c>
      <c r="G305" s="915" t="s">
        <v>4383</v>
      </c>
      <c r="H305" s="917">
        <v>69410</v>
      </c>
      <c r="I305" s="918"/>
      <c r="J305" s="917">
        <v>17638056</v>
      </c>
    </row>
    <row r="306" spans="1:10">
      <c r="A306" t="s">
        <v>4597</v>
      </c>
      <c r="B306" s="915" t="s">
        <v>4025</v>
      </c>
      <c r="C306" s="915" t="str">
        <f t="shared" si="4"/>
        <v>5월</v>
      </c>
      <c r="D306" s="916" t="s">
        <v>4394</v>
      </c>
      <c r="E306" s="916" t="s">
        <v>4369</v>
      </c>
      <c r="F306" s="916" t="s">
        <v>4370</v>
      </c>
      <c r="G306" s="915"/>
      <c r="H306" s="917">
        <v>69336</v>
      </c>
      <c r="I306" s="918"/>
      <c r="J306" s="918"/>
    </row>
    <row r="307" spans="1:10">
      <c r="A307" t="s">
        <v>4010</v>
      </c>
      <c r="B307" s="915" t="s">
        <v>3616</v>
      </c>
      <c r="C307" s="915" t="str">
        <f t="shared" si="4"/>
        <v>9월</v>
      </c>
      <c r="D307" s="916" t="s">
        <v>3978</v>
      </c>
      <c r="E307" s="916"/>
      <c r="F307" s="916" t="s">
        <v>3610</v>
      </c>
      <c r="G307" s="915"/>
      <c r="H307" s="917">
        <v>67700</v>
      </c>
      <c r="I307" s="918"/>
      <c r="J307" s="918"/>
    </row>
    <row r="308" spans="1:10">
      <c r="A308" t="s">
        <v>3871</v>
      </c>
      <c r="B308" s="915" t="s">
        <v>3776</v>
      </c>
      <c r="C308" s="915" t="str">
        <f t="shared" si="4"/>
        <v>7월</v>
      </c>
      <c r="D308" s="916" t="s">
        <v>3641</v>
      </c>
      <c r="E308" s="916"/>
      <c r="F308" s="916" t="s">
        <v>3603</v>
      </c>
      <c r="G308" s="915"/>
      <c r="H308" s="917">
        <v>67500</v>
      </c>
      <c r="I308" s="918"/>
      <c r="J308" s="917">
        <v>855581</v>
      </c>
    </row>
    <row r="309" spans="1:10">
      <c r="A309" t="s">
        <v>4220</v>
      </c>
      <c r="B309" s="915" t="s">
        <v>4190</v>
      </c>
      <c r="C309" s="915" t="str">
        <f t="shared" si="4"/>
        <v>6월</v>
      </c>
      <c r="D309" s="916" t="s">
        <v>4192</v>
      </c>
      <c r="E309" s="916" t="s">
        <v>4150</v>
      </c>
      <c r="F309" s="916" t="s">
        <v>4151</v>
      </c>
      <c r="G309" s="915" t="s">
        <v>4152</v>
      </c>
      <c r="H309" s="917">
        <v>66300</v>
      </c>
      <c r="I309" s="918"/>
      <c r="J309" s="917">
        <v>5209480</v>
      </c>
    </row>
    <row r="310" spans="1:10" ht="33.75">
      <c r="A310" t="s">
        <v>4597</v>
      </c>
      <c r="B310" s="915" t="s">
        <v>4378</v>
      </c>
      <c r="C310" s="915" t="str">
        <f t="shared" si="4"/>
        <v>1월</v>
      </c>
      <c r="D310" s="916" t="s">
        <v>4380</v>
      </c>
      <c r="E310" s="916" t="s">
        <v>4381</v>
      </c>
      <c r="F310" s="916" t="s">
        <v>4382</v>
      </c>
      <c r="G310" s="915" t="s">
        <v>4383</v>
      </c>
      <c r="H310" s="917">
        <v>66000</v>
      </c>
      <c r="I310" s="918"/>
      <c r="J310" s="917">
        <v>146315</v>
      </c>
    </row>
    <row r="311" spans="1:10" ht="33.75">
      <c r="A311" t="s">
        <v>4597</v>
      </c>
      <c r="B311" s="915" t="s">
        <v>4427</v>
      </c>
      <c r="C311" s="915" t="str">
        <f t="shared" si="4"/>
        <v>3월</v>
      </c>
      <c r="D311" s="916" t="s">
        <v>4380</v>
      </c>
      <c r="E311" s="916" t="s">
        <v>4381</v>
      </c>
      <c r="F311" s="916" t="s">
        <v>4382</v>
      </c>
      <c r="G311" s="915" t="s">
        <v>4383</v>
      </c>
      <c r="H311" s="917">
        <v>66000</v>
      </c>
      <c r="I311" s="918"/>
      <c r="J311" s="917">
        <v>1851115</v>
      </c>
    </row>
    <row r="312" spans="1:10" ht="33.75">
      <c r="A312" t="s">
        <v>4597</v>
      </c>
      <c r="B312" s="915" t="s">
        <v>4181</v>
      </c>
      <c r="C312" s="915" t="str">
        <f t="shared" si="4"/>
        <v>4월</v>
      </c>
      <c r="D312" s="916" t="s">
        <v>4380</v>
      </c>
      <c r="E312" s="916" t="s">
        <v>4381</v>
      </c>
      <c r="F312" s="916" t="s">
        <v>4382</v>
      </c>
      <c r="G312" s="915" t="s">
        <v>4383</v>
      </c>
      <c r="H312" s="917">
        <v>66000</v>
      </c>
      <c r="I312" s="918"/>
      <c r="J312" s="917">
        <v>2824319</v>
      </c>
    </row>
    <row r="313" spans="1:10" ht="33.75">
      <c r="A313" t="s">
        <v>4597</v>
      </c>
      <c r="B313" s="915" t="s">
        <v>4025</v>
      </c>
      <c r="C313" s="915" t="str">
        <f t="shared" si="4"/>
        <v>5월</v>
      </c>
      <c r="D313" s="916" t="s">
        <v>4380</v>
      </c>
      <c r="E313" s="916" t="s">
        <v>4381</v>
      </c>
      <c r="F313" s="916" t="s">
        <v>4382</v>
      </c>
      <c r="G313" s="915" t="s">
        <v>4383</v>
      </c>
      <c r="H313" s="917">
        <v>66000</v>
      </c>
      <c r="I313" s="918"/>
      <c r="J313" s="917">
        <v>12454177</v>
      </c>
    </row>
    <row r="314" spans="1:10">
      <c r="A314" t="s">
        <v>3871</v>
      </c>
      <c r="B314" s="915" t="s">
        <v>3708</v>
      </c>
      <c r="C314" s="915" t="str">
        <f t="shared" si="4"/>
        <v>4월</v>
      </c>
      <c r="D314" s="916" t="s">
        <v>3709</v>
      </c>
      <c r="E314" s="916"/>
      <c r="F314" s="916" t="s">
        <v>3710</v>
      </c>
      <c r="G314" s="915"/>
      <c r="H314" s="917">
        <v>66000</v>
      </c>
      <c r="I314" s="918"/>
      <c r="J314" s="917">
        <v>2197210</v>
      </c>
    </row>
    <row r="315" spans="1:10" ht="33.75">
      <c r="A315" t="s">
        <v>4597</v>
      </c>
      <c r="B315" s="915" t="s">
        <v>4338</v>
      </c>
      <c r="C315" s="915" t="str">
        <f t="shared" si="4"/>
        <v>6월</v>
      </c>
      <c r="D315" s="916" t="s">
        <v>4380</v>
      </c>
      <c r="E315" s="916" t="s">
        <v>4381</v>
      </c>
      <c r="F315" s="916" t="s">
        <v>4382</v>
      </c>
      <c r="G315" s="915" t="s">
        <v>4383</v>
      </c>
      <c r="H315" s="917">
        <v>66000</v>
      </c>
      <c r="I315" s="918"/>
      <c r="J315" s="917">
        <v>15910535</v>
      </c>
    </row>
    <row r="316" spans="1:10" ht="33.75">
      <c r="A316" t="s">
        <v>4597</v>
      </c>
      <c r="B316" s="915" t="s">
        <v>4118</v>
      </c>
      <c r="C316" s="915" t="str">
        <f t="shared" si="4"/>
        <v>7월</v>
      </c>
      <c r="D316" s="916" t="s">
        <v>4380</v>
      </c>
      <c r="E316" s="916" t="s">
        <v>4381</v>
      </c>
      <c r="F316" s="916" t="s">
        <v>4382</v>
      </c>
      <c r="G316" s="915" t="s">
        <v>4383</v>
      </c>
      <c r="H316" s="917">
        <v>66000</v>
      </c>
      <c r="I316" s="918"/>
      <c r="J316" s="917">
        <v>17373300</v>
      </c>
    </row>
    <row r="317" spans="1:10" ht="33.75">
      <c r="A317" t="s">
        <v>4597</v>
      </c>
      <c r="B317" s="915" t="s">
        <v>3799</v>
      </c>
      <c r="C317" s="915" t="str">
        <f t="shared" si="4"/>
        <v>9월</v>
      </c>
      <c r="D317" s="916" t="s">
        <v>4380</v>
      </c>
      <c r="E317" s="916" t="s">
        <v>4381</v>
      </c>
      <c r="F317" s="916" t="s">
        <v>4382</v>
      </c>
      <c r="G317" s="915" t="s">
        <v>4383</v>
      </c>
      <c r="H317" s="917">
        <v>66000</v>
      </c>
      <c r="I317" s="918"/>
      <c r="J317" s="917">
        <v>18623054</v>
      </c>
    </row>
    <row r="318" spans="1:10">
      <c r="A318" t="s">
        <v>3871</v>
      </c>
      <c r="B318" s="915" t="s">
        <v>3841</v>
      </c>
      <c r="C318" s="915" t="str">
        <f t="shared" si="4"/>
        <v>11월</v>
      </c>
      <c r="D318" s="916" t="s">
        <v>3641</v>
      </c>
      <c r="E318" s="916"/>
      <c r="F318" s="916" t="s">
        <v>3842</v>
      </c>
      <c r="G318" s="915"/>
      <c r="H318" s="917">
        <v>66000</v>
      </c>
      <c r="I318" s="918"/>
      <c r="J318" s="918"/>
    </row>
    <row r="319" spans="1:10">
      <c r="A319" t="s">
        <v>3871</v>
      </c>
      <c r="B319" s="915" t="s">
        <v>3854</v>
      </c>
      <c r="C319" s="915" t="str">
        <f t="shared" si="4"/>
        <v>12월</v>
      </c>
      <c r="D319" s="916" t="s">
        <v>3855</v>
      </c>
      <c r="E319" s="916"/>
      <c r="F319" s="916" t="s">
        <v>3701</v>
      </c>
      <c r="G319" s="915"/>
      <c r="H319" s="917">
        <v>66000</v>
      </c>
      <c r="I319" s="918"/>
      <c r="J319" s="918"/>
    </row>
    <row r="320" spans="1:10" ht="33.75">
      <c r="A320" t="s">
        <v>4597</v>
      </c>
      <c r="B320" s="915" t="s">
        <v>3817</v>
      </c>
      <c r="C320" s="915" t="str">
        <f t="shared" si="4"/>
        <v>10월</v>
      </c>
      <c r="D320" s="916" t="s">
        <v>4380</v>
      </c>
      <c r="E320" s="916" t="s">
        <v>4381</v>
      </c>
      <c r="F320" s="916" t="s">
        <v>4382</v>
      </c>
      <c r="G320" s="915" t="s">
        <v>4383</v>
      </c>
      <c r="H320" s="917">
        <v>66000</v>
      </c>
      <c r="I320" s="918"/>
      <c r="J320" s="917">
        <v>19137659</v>
      </c>
    </row>
    <row r="321" spans="1:10" ht="33.75">
      <c r="A321" t="s">
        <v>4597</v>
      </c>
      <c r="B321" s="915" t="s">
        <v>3835</v>
      </c>
      <c r="C321" s="915" t="str">
        <f t="shared" si="4"/>
        <v>11월</v>
      </c>
      <c r="D321" s="916" t="s">
        <v>4380</v>
      </c>
      <c r="E321" s="916" t="s">
        <v>4381</v>
      </c>
      <c r="F321" s="916" t="s">
        <v>4382</v>
      </c>
      <c r="G321" s="915" t="s">
        <v>4383</v>
      </c>
      <c r="H321" s="917">
        <v>66000</v>
      </c>
      <c r="I321" s="918"/>
      <c r="J321" s="917">
        <v>19662134</v>
      </c>
    </row>
    <row r="322" spans="1:10" ht="33.75">
      <c r="A322" t="s">
        <v>4597</v>
      </c>
      <c r="B322" s="915" t="s">
        <v>4591</v>
      </c>
      <c r="C322" s="915" t="str">
        <f t="shared" ref="C322:C385" si="5">MONTH(B322)&amp;"월"</f>
        <v>12월</v>
      </c>
      <c r="D322" s="916" t="s">
        <v>4380</v>
      </c>
      <c r="E322" s="916" t="s">
        <v>4381</v>
      </c>
      <c r="F322" s="916" t="s">
        <v>4382</v>
      </c>
      <c r="G322" s="915" t="s">
        <v>4383</v>
      </c>
      <c r="H322" s="917">
        <v>66000</v>
      </c>
      <c r="I322" s="918"/>
      <c r="J322" s="918"/>
    </row>
    <row r="323" spans="1:10">
      <c r="A323" t="s">
        <v>3871</v>
      </c>
      <c r="B323" s="915" t="s">
        <v>3835</v>
      </c>
      <c r="C323" s="915" t="str">
        <f t="shared" si="5"/>
        <v>11월</v>
      </c>
      <c r="D323" s="916" t="s">
        <v>3660</v>
      </c>
      <c r="E323" s="916"/>
      <c r="F323" s="916" t="s">
        <v>3701</v>
      </c>
      <c r="G323" s="915"/>
      <c r="H323" s="917">
        <v>65000</v>
      </c>
      <c r="I323" s="918"/>
      <c r="J323" s="918"/>
    </row>
    <row r="324" spans="1:10">
      <c r="A324" t="s">
        <v>3871</v>
      </c>
      <c r="B324" s="915" t="s">
        <v>3687</v>
      </c>
      <c r="C324" s="915" t="str">
        <f t="shared" si="5"/>
        <v>2월</v>
      </c>
      <c r="D324" s="916" t="s">
        <v>3660</v>
      </c>
      <c r="E324" s="916"/>
      <c r="F324" s="916" t="s">
        <v>3691</v>
      </c>
      <c r="G324" s="915"/>
      <c r="H324" s="917">
        <v>63000</v>
      </c>
      <c r="I324" s="918"/>
      <c r="J324" s="918"/>
    </row>
    <row r="325" spans="1:10" ht="33.75">
      <c r="A325" t="s">
        <v>4128</v>
      </c>
      <c r="B325" s="915" t="s">
        <v>3777</v>
      </c>
      <c r="C325" s="915" t="str">
        <f t="shared" si="5"/>
        <v>8월</v>
      </c>
      <c r="D325" s="916" t="s">
        <v>4122</v>
      </c>
      <c r="E325" s="916"/>
      <c r="F325" s="916" t="s">
        <v>4112</v>
      </c>
      <c r="G325" s="915"/>
      <c r="H325" s="917">
        <v>62500</v>
      </c>
      <c r="I325" s="918"/>
      <c r="J325" s="917">
        <v>3395590</v>
      </c>
    </row>
    <row r="326" spans="1:10">
      <c r="A326" t="s">
        <v>3871</v>
      </c>
      <c r="B326" s="915" t="s">
        <v>3714</v>
      </c>
      <c r="C326" s="915" t="str">
        <f t="shared" si="5"/>
        <v>4월</v>
      </c>
      <c r="D326" s="916" t="s">
        <v>3715</v>
      </c>
      <c r="E326" s="916"/>
      <c r="F326" s="916" t="s">
        <v>3716</v>
      </c>
      <c r="G326" s="915"/>
      <c r="H326" s="917">
        <v>62000</v>
      </c>
      <c r="I326" s="918"/>
      <c r="J326" s="918"/>
    </row>
    <row r="327" spans="1:10">
      <c r="A327" t="s">
        <v>4650</v>
      </c>
      <c r="B327" s="915" t="s">
        <v>3680</v>
      </c>
      <c r="C327" s="915" t="str">
        <f t="shared" si="5"/>
        <v>2월</v>
      </c>
      <c r="D327" s="916" t="s">
        <v>4637</v>
      </c>
      <c r="E327" s="916"/>
      <c r="F327" s="916" t="s">
        <v>4643</v>
      </c>
      <c r="G327" s="915"/>
      <c r="H327" s="917">
        <v>60000</v>
      </c>
      <c r="I327" s="918"/>
      <c r="J327" s="917">
        <v>2593700</v>
      </c>
    </row>
    <row r="328" spans="1:10">
      <c r="A328" t="s">
        <v>4597</v>
      </c>
      <c r="B328" s="915" t="s">
        <v>3776</v>
      </c>
      <c r="C328" s="915" t="str">
        <f t="shared" si="5"/>
        <v>7월</v>
      </c>
      <c r="D328" s="916" t="s">
        <v>4416</v>
      </c>
      <c r="E328" s="916" t="s">
        <v>4438</v>
      </c>
      <c r="F328" s="916" t="s">
        <v>4439</v>
      </c>
      <c r="G328" s="915"/>
      <c r="H328" s="917">
        <v>58564</v>
      </c>
      <c r="I328" s="918"/>
      <c r="J328" s="918"/>
    </row>
    <row r="329" spans="1:10">
      <c r="A329" t="s">
        <v>3871</v>
      </c>
      <c r="B329" s="915" t="s">
        <v>3861</v>
      </c>
      <c r="C329" s="915" t="str">
        <f t="shared" si="5"/>
        <v>12월</v>
      </c>
      <c r="D329" s="916" t="s">
        <v>3641</v>
      </c>
      <c r="E329" s="916"/>
      <c r="F329" s="916" t="s">
        <v>3862</v>
      </c>
      <c r="G329" s="915"/>
      <c r="H329" s="917">
        <v>58000</v>
      </c>
      <c r="I329" s="918"/>
      <c r="J329" s="917">
        <v>868911</v>
      </c>
    </row>
    <row r="330" spans="1:10">
      <c r="A330" t="s">
        <v>3871</v>
      </c>
      <c r="B330" s="915" t="s">
        <v>3761</v>
      </c>
      <c r="C330" s="915" t="str">
        <f t="shared" si="5"/>
        <v>7월</v>
      </c>
      <c r="D330" s="916" t="s">
        <v>3723</v>
      </c>
      <c r="E330" s="916"/>
      <c r="F330" s="916" t="s">
        <v>3762</v>
      </c>
      <c r="G330" s="915"/>
      <c r="H330" s="917">
        <v>57600</v>
      </c>
      <c r="I330" s="918"/>
      <c r="J330" s="917">
        <v>251231</v>
      </c>
    </row>
    <row r="331" spans="1:10">
      <c r="A331" t="s">
        <v>4010</v>
      </c>
      <c r="B331" s="915" t="s">
        <v>3635</v>
      </c>
      <c r="C331" s="915" t="str">
        <f t="shared" si="5"/>
        <v>1월</v>
      </c>
      <c r="D331" s="916" t="s">
        <v>3922</v>
      </c>
      <c r="E331" s="916" t="s">
        <v>3923</v>
      </c>
      <c r="F331" s="916" t="s">
        <v>3924</v>
      </c>
      <c r="G331" s="915" t="s">
        <v>3925</v>
      </c>
      <c r="H331" s="917">
        <v>57200</v>
      </c>
      <c r="I331" s="918"/>
      <c r="J331" s="917">
        <v>57200</v>
      </c>
    </row>
    <row r="332" spans="1:10">
      <c r="A332" t="s">
        <v>4010</v>
      </c>
      <c r="B332" s="915" t="s">
        <v>3828</v>
      </c>
      <c r="C332" s="915" t="str">
        <f t="shared" si="5"/>
        <v>11월</v>
      </c>
      <c r="D332" s="916" t="s">
        <v>3989</v>
      </c>
      <c r="E332" s="916" t="s">
        <v>3923</v>
      </c>
      <c r="F332" s="916" t="s">
        <v>3924</v>
      </c>
      <c r="G332" s="915" t="s">
        <v>3925</v>
      </c>
      <c r="H332" s="917">
        <v>57200</v>
      </c>
      <c r="I332" s="918"/>
      <c r="J332" s="918"/>
    </row>
    <row r="333" spans="1:10">
      <c r="A333" t="s">
        <v>3871</v>
      </c>
      <c r="B333" s="915" t="s">
        <v>3799</v>
      </c>
      <c r="C333" s="915" t="str">
        <f t="shared" si="5"/>
        <v>9월</v>
      </c>
      <c r="D333" s="916" t="s">
        <v>3660</v>
      </c>
      <c r="E333" s="916"/>
      <c r="F333" s="916" t="s">
        <v>3800</v>
      </c>
      <c r="G333" s="915"/>
      <c r="H333" s="917">
        <v>57000</v>
      </c>
      <c r="I333" s="918"/>
      <c r="J333" s="917">
        <v>1516081</v>
      </c>
    </row>
    <row r="334" spans="1:10">
      <c r="A334" t="s">
        <v>4650</v>
      </c>
      <c r="B334" s="915" t="s">
        <v>4236</v>
      </c>
      <c r="C334" s="915" t="str">
        <f t="shared" si="5"/>
        <v>2월</v>
      </c>
      <c r="D334" s="916" t="s">
        <v>4644</v>
      </c>
      <c r="E334" s="916"/>
      <c r="F334" s="916" t="s">
        <v>4645</v>
      </c>
      <c r="G334" s="915"/>
      <c r="H334" s="917">
        <v>55520</v>
      </c>
      <c r="I334" s="918"/>
      <c r="J334" s="917">
        <v>2649220</v>
      </c>
    </row>
    <row r="335" spans="1:10">
      <c r="A335" t="s">
        <v>3871</v>
      </c>
      <c r="B335" s="915" t="s">
        <v>3719</v>
      </c>
      <c r="C335" s="915" t="str">
        <f t="shared" si="5"/>
        <v>4월</v>
      </c>
      <c r="D335" s="916" t="s">
        <v>3660</v>
      </c>
      <c r="E335" s="916"/>
      <c r="F335" s="916" t="s">
        <v>3692</v>
      </c>
      <c r="G335" s="915"/>
      <c r="H335" s="917">
        <v>55000</v>
      </c>
      <c r="I335" s="918"/>
      <c r="J335" s="917">
        <v>-1407190</v>
      </c>
    </row>
    <row r="336" spans="1:10">
      <c r="A336" t="s">
        <v>3871</v>
      </c>
      <c r="B336" s="915" t="s">
        <v>3728</v>
      </c>
      <c r="C336" s="915" t="str">
        <f t="shared" si="5"/>
        <v>5월</v>
      </c>
      <c r="D336" s="916" t="s">
        <v>3729</v>
      </c>
      <c r="E336" s="916"/>
      <c r="F336" s="916" t="s">
        <v>3731</v>
      </c>
      <c r="G336" s="915"/>
      <c r="H336" s="917">
        <v>55000</v>
      </c>
      <c r="I336" s="918"/>
      <c r="J336" s="918"/>
    </row>
    <row r="337" spans="1:10">
      <c r="A337" t="s">
        <v>3871</v>
      </c>
      <c r="B337" s="915" t="s">
        <v>3745</v>
      </c>
      <c r="C337" s="915" t="str">
        <f t="shared" si="5"/>
        <v>5월</v>
      </c>
      <c r="D337" s="916" t="s">
        <v>3660</v>
      </c>
      <c r="E337" s="916"/>
      <c r="F337" s="916" t="s">
        <v>3746</v>
      </c>
      <c r="G337" s="915"/>
      <c r="H337" s="917">
        <v>54351</v>
      </c>
      <c r="I337" s="918"/>
      <c r="J337" s="917">
        <v>-450069</v>
      </c>
    </row>
    <row r="338" spans="1:10">
      <c r="A338" t="s">
        <v>3871</v>
      </c>
      <c r="B338" s="915" t="s">
        <v>3705</v>
      </c>
      <c r="C338" s="915" t="str">
        <f t="shared" si="5"/>
        <v>3월</v>
      </c>
      <c r="D338" s="916" t="s">
        <v>3641</v>
      </c>
      <c r="E338" s="916"/>
      <c r="F338" s="916" t="s">
        <v>3652</v>
      </c>
      <c r="G338" s="915"/>
      <c r="H338" s="917">
        <v>52800</v>
      </c>
      <c r="I338" s="918"/>
      <c r="J338" s="917">
        <v>1881510</v>
      </c>
    </row>
    <row r="339" spans="1:10">
      <c r="A339" t="s">
        <v>3871</v>
      </c>
      <c r="B339" s="915" t="s">
        <v>3749</v>
      </c>
      <c r="C339" s="915" t="str">
        <f t="shared" si="5"/>
        <v>6월</v>
      </c>
      <c r="D339" s="916" t="s">
        <v>3641</v>
      </c>
      <c r="E339" s="916"/>
      <c r="F339" s="916" t="s">
        <v>3652</v>
      </c>
      <c r="G339" s="915"/>
      <c r="H339" s="917">
        <v>52800</v>
      </c>
      <c r="I339" s="918"/>
      <c r="J339" s="917">
        <v>-165269</v>
      </c>
    </row>
    <row r="340" spans="1:10">
      <c r="A340" t="s">
        <v>4765</v>
      </c>
      <c r="B340" s="915" t="s">
        <v>3932</v>
      </c>
      <c r="C340" s="915" t="str">
        <f t="shared" si="5"/>
        <v>1월</v>
      </c>
      <c r="D340" s="916" t="s">
        <v>4666</v>
      </c>
      <c r="E340" s="916" t="s">
        <v>4667</v>
      </c>
      <c r="F340" s="916" t="s">
        <v>4668</v>
      </c>
      <c r="G340" s="915" t="s">
        <v>4669</v>
      </c>
      <c r="H340" s="917">
        <v>52000</v>
      </c>
      <c r="I340" s="918"/>
      <c r="J340" s="917">
        <v>422000</v>
      </c>
    </row>
    <row r="341" spans="1:10">
      <c r="A341" t="s">
        <v>4765</v>
      </c>
      <c r="B341" s="915" t="s">
        <v>3687</v>
      </c>
      <c r="C341" s="915" t="str">
        <f t="shared" si="5"/>
        <v>2월</v>
      </c>
      <c r="D341" s="916" t="s">
        <v>4666</v>
      </c>
      <c r="E341" s="916" t="s">
        <v>4667</v>
      </c>
      <c r="F341" s="916" t="s">
        <v>4668</v>
      </c>
      <c r="G341" s="915" t="s">
        <v>4669</v>
      </c>
      <c r="H341" s="917">
        <v>52000</v>
      </c>
      <c r="I341" s="918"/>
      <c r="J341" s="918"/>
    </row>
    <row r="342" spans="1:10">
      <c r="A342" t="s">
        <v>4765</v>
      </c>
      <c r="B342" s="915" t="s">
        <v>3706</v>
      </c>
      <c r="C342" s="915" t="str">
        <f t="shared" si="5"/>
        <v>3월</v>
      </c>
      <c r="D342" s="916" t="s">
        <v>4666</v>
      </c>
      <c r="E342" s="916" t="s">
        <v>4667</v>
      </c>
      <c r="F342" s="916" t="s">
        <v>4668</v>
      </c>
      <c r="G342" s="915" t="s">
        <v>4669</v>
      </c>
      <c r="H342" s="917">
        <v>52000</v>
      </c>
      <c r="I342" s="918"/>
      <c r="J342" s="917">
        <v>2897700</v>
      </c>
    </row>
    <row r="343" spans="1:10">
      <c r="A343" t="s">
        <v>4765</v>
      </c>
      <c r="B343" s="915" t="s">
        <v>4093</v>
      </c>
      <c r="C343" s="915" t="str">
        <f t="shared" si="5"/>
        <v>4월</v>
      </c>
      <c r="D343" s="916" t="s">
        <v>4666</v>
      </c>
      <c r="E343" s="916" t="s">
        <v>4667</v>
      </c>
      <c r="F343" s="916" t="s">
        <v>4668</v>
      </c>
      <c r="G343" s="915" t="s">
        <v>4669</v>
      </c>
      <c r="H343" s="917">
        <v>52000</v>
      </c>
      <c r="I343" s="918"/>
      <c r="J343" s="917">
        <v>3871700</v>
      </c>
    </row>
    <row r="344" spans="1:10">
      <c r="A344" t="s">
        <v>4765</v>
      </c>
      <c r="B344" s="915" t="s">
        <v>3745</v>
      </c>
      <c r="C344" s="915" t="str">
        <f t="shared" si="5"/>
        <v>5월</v>
      </c>
      <c r="D344" s="916" t="s">
        <v>4666</v>
      </c>
      <c r="E344" s="916" t="s">
        <v>4667</v>
      </c>
      <c r="F344" s="916" t="s">
        <v>4668</v>
      </c>
      <c r="G344" s="915" t="s">
        <v>4669</v>
      </c>
      <c r="H344" s="917">
        <v>52000</v>
      </c>
      <c r="I344" s="918"/>
      <c r="J344" s="917">
        <v>5978200</v>
      </c>
    </row>
    <row r="345" spans="1:10">
      <c r="A345" t="s">
        <v>4765</v>
      </c>
      <c r="B345" s="915" t="s">
        <v>3754</v>
      </c>
      <c r="C345" s="915" t="str">
        <f t="shared" si="5"/>
        <v>6월</v>
      </c>
      <c r="D345" s="916" t="s">
        <v>4666</v>
      </c>
      <c r="E345" s="916" t="s">
        <v>4667</v>
      </c>
      <c r="F345" s="916" t="s">
        <v>4668</v>
      </c>
      <c r="G345" s="915" t="s">
        <v>4669</v>
      </c>
      <c r="H345" s="917">
        <v>52000</v>
      </c>
      <c r="I345" s="918"/>
      <c r="J345" s="917">
        <v>10677780</v>
      </c>
    </row>
    <row r="346" spans="1:10">
      <c r="A346" t="s">
        <v>4765</v>
      </c>
      <c r="B346" s="915" t="s">
        <v>3969</v>
      </c>
      <c r="C346" s="915" t="str">
        <f t="shared" si="5"/>
        <v>7월</v>
      </c>
      <c r="D346" s="916" t="s">
        <v>4666</v>
      </c>
      <c r="E346" s="916" t="s">
        <v>4667</v>
      </c>
      <c r="F346" s="916" t="s">
        <v>4668</v>
      </c>
      <c r="G346" s="915" t="s">
        <v>4669</v>
      </c>
      <c r="H346" s="917">
        <v>52000</v>
      </c>
      <c r="I346" s="918"/>
      <c r="J346" s="917">
        <v>14169580</v>
      </c>
    </row>
    <row r="347" spans="1:10">
      <c r="A347" t="s">
        <v>4765</v>
      </c>
      <c r="B347" s="915" t="s">
        <v>4274</v>
      </c>
      <c r="C347" s="915" t="str">
        <f t="shared" si="5"/>
        <v>8월</v>
      </c>
      <c r="D347" s="916" t="s">
        <v>4666</v>
      </c>
      <c r="E347" s="916" t="s">
        <v>4667</v>
      </c>
      <c r="F347" s="916" t="s">
        <v>4668</v>
      </c>
      <c r="G347" s="915" t="s">
        <v>4669</v>
      </c>
      <c r="H347" s="917">
        <v>52000</v>
      </c>
      <c r="I347" s="918"/>
      <c r="J347" s="917">
        <v>15836580</v>
      </c>
    </row>
    <row r="348" spans="1:10">
      <c r="A348" t="s">
        <v>4765</v>
      </c>
      <c r="B348" s="915" t="s">
        <v>4349</v>
      </c>
      <c r="C348" s="915" t="str">
        <f t="shared" si="5"/>
        <v>9월</v>
      </c>
      <c r="D348" s="916" t="s">
        <v>4666</v>
      </c>
      <c r="E348" s="916" t="s">
        <v>4667</v>
      </c>
      <c r="F348" s="916" t="s">
        <v>4668</v>
      </c>
      <c r="G348" s="915" t="s">
        <v>4669</v>
      </c>
      <c r="H348" s="917">
        <v>52000</v>
      </c>
      <c r="I348" s="918"/>
      <c r="J348" s="917">
        <v>17686580</v>
      </c>
    </row>
    <row r="349" spans="1:10">
      <c r="A349" t="s">
        <v>4765</v>
      </c>
      <c r="B349" s="915" t="s">
        <v>4741</v>
      </c>
      <c r="C349" s="915" t="str">
        <f t="shared" si="5"/>
        <v>10월</v>
      </c>
      <c r="D349" s="916" t="s">
        <v>4666</v>
      </c>
      <c r="E349" s="916" t="s">
        <v>4667</v>
      </c>
      <c r="F349" s="916" t="s">
        <v>4668</v>
      </c>
      <c r="G349" s="915" t="s">
        <v>4669</v>
      </c>
      <c r="H349" s="917">
        <v>52000</v>
      </c>
      <c r="I349" s="918"/>
      <c r="J349" s="917">
        <v>19621580</v>
      </c>
    </row>
    <row r="350" spans="1:10">
      <c r="A350" t="s">
        <v>4765</v>
      </c>
      <c r="B350" s="915" t="s">
        <v>4287</v>
      </c>
      <c r="C350" s="915" t="str">
        <f t="shared" si="5"/>
        <v>11월</v>
      </c>
      <c r="D350" s="916" t="s">
        <v>4666</v>
      </c>
      <c r="E350" s="916" t="s">
        <v>4667</v>
      </c>
      <c r="F350" s="916" t="s">
        <v>4668</v>
      </c>
      <c r="G350" s="915" t="s">
        <v>4669</v>
      </c>
      <c r="H350" s="917">
        <v>52000</v>
      </c>
      <c r="I350" s="918"/>
      <c r="J350" s="917">
        <v>21548580</v>
      </c>
    </row>
    <row r="351" spans="1:10">
      <c r="A351" t="s">
        <v>4765</v>
      </c>
      <c r="B351" s="915" t="s">
        <v>3865</v>
      </c>
      <c r="C351" s="915" t="str">
        <f t="shared" si="5"/>
        <v>12월</v>
      </c>
      <c r="D351" s="916" t="s">
        <v>4666</v>
      </c>
      <c r="E351" s="916" t="s">
        <v>4667</v>
      </c>
      <c r="F351" s="916" t="s">
        <v>4668</v>
      </c>
      <c r="G351" s="915" t="s">
        <v>4669</v>
      </c>
      <c r="H351" s="917">
        <v>52000</v>
      </c>
      <c r="I351" s="918"/>
      <c r="J351" s="917">
        <v>27920380</v>
      </c>
    </row>
    <row r="352" spans="1:10">
      <c r="A352" t="s">
        <v>3921</v>
      </c>
      <c r="B352" s="915" t="s">
        <v>3912</v>
      </c>
      <c r="C352" s="915" t="str">
        <f t="shared" si="5"/>
        <v>10월</v>
      </c>
      <c r="D352" s="916" t="s">
        <v>3913</v>
      </c>
      <c r="E352" s="916"/>
      <c r="F352" s="916" t="s">
        <v>3914</v>
      </c>
      <c r="G352" s="915"/>
      <c r="H352" s="917">
        <v>51879</v>
      </c>
      <c r="I352" s="918"/>
      <c r="J352" s="918"/>
    </row>
    <row r="353" spans="1:10">
      <c r="A353" t="s">
        <v>3870</v>
      </c>
      <c r="B353" s="915" t="s">
        <v>3608</v>
      </c>
      <c r="C353" s="915" t="str">
        <f t="shared" si="5"/>
        <v>6월</v>
      </c>
      <c r="D353" s="916" t="s">
        <v>3609</v>
      </c>
      <c r="E353" s="916"/>
      <c r="F353" s="916" t="s">
        <v>3610</v>
      </c>
      <c r="G353" s="915"/>
      <c r="H353" s="917">
        <v>51800</v>
      </c>
      <c r="I353" s="918"/>
      <c r="J353" s="918"/>
    </row>
    <row r="354" spans="1:10">
      <c r="A354" t="s">
        <v>4010</v>
      </c>
      <c r="B354" s="915" t="s">
        <v>3991</v>
      </c>
      <c r="C354" s="915" t="str">
        <f t="shared" si="5"/>
        <v>11월</v>
      </c>
      <c r="D354" s="916" t="s">
        <v>3992</v>
      </c>
      <c r="E354" s="916"/>
      <c r="F354" s="916" t="s">
        <v>3600</v>
      </c>
      <c r="G354" s="915"/>
      <c r="H354" s="917">
        <v>50780</v>
      </c>
      <c r="I354" s="918"/>
      <c r="J354" s="917">
        <v>5519520</v>
      </c>
    </row>
    <row r="355" spans="1:10">
      <c r="A355" t="s">
        <v>4292</v>
      </c>
      <c r="B355" s="915" t="s">
        <v>3872</v>
      </c>
      <c r="C355" s="915" t="str">
        <f t="shared" si="5"/>
        <v>1월</v>
      </c>
      <c r="D355" s="916" t="s">
        <v>4223</v>
      </c>
      <c r="E355" s="916" t="s">
        <v>4224</v>
      </c>
      <c r="F355" s="916" t="s">
        <v>4225</v>
      </c>
      <c r="G355" s="915" t="s">
        <v>4226</v>
      </c>
      <c r="H355" s="917">
        <v>50600</v>
      </c>
      <c r="I355" s="918"/>
      <c r="J355" s="918"/>
    </row>
    <row r="356" spans="1:10">
      <c r="A356" t="s">
        <v>3870</v>
      </c>
      <c r="B356" s="915" t="s">
        <v>3601</v>
      </c>
      <c r="C356" s="915" t="str">
        <f t="shared" si="5"/>
        <v>2월</v>
      </c>
      <c r="D356" s="916" t="s">
        <v>3602</v>
      </c>
      <c r="E356" s="916"/>
      <c r="F356" s="916" t="s">
        <v>3603</v>
      </c>
      <c r="G356" s="915"/>
      <c r="H356" s="917">
        <v>50200</v>
      </c>
      <c r="I356" s="918"/>
      <c r="J356" s="917">
        <v>124630</v>
      </c>
    </row>
    <row r="357" spans="1:10">
      <c r="A357" t="s">
        <v>4597</v>
      </c>
      <c r="B357" s="915" t="s">
        <v>4427</v>
      </c>
      <c r="C357" s="915" t="str">
        <f t="shared" si="5"/>
        <v>3월</v>
      </c>
      <c r="D357" s="916" t="s">
        <v>4408</v>
      </c>
      <c r="E357" s="916"/>
      <c r="F357" s="916" t="s">
        <v>4428</v>
      </c>
      <c r="G357" s="915"/>
      <c r="H357" s="917">
        <v>50000</v>
      </c>
      <c r="I357" s="918"/>
      <c r="J357" s="918"/>
    </row>
    <row r="358" spans="1:10">
      <c r="A358" t="s">
        <v>4064</v>
      </c>
      <c r="B358" s="915" t="s">
        <v>4049</v>
      </c>
      <c r="C358" s="915" t="str">
        <f t="shared" si="5"/>
        <v>6월</v>
      </c>
      <c r="D358" s="916" t="s">
        <v>4050</v>
      </c>
      <c r="E358" s="916"/>
      <c r="F358" s="916" t="s">
        <v>4051</v>
      </c>
      <c r="G358" s="915"/>
      <c r="H358" s="917">
        <v>50000</v>
      </c>
      <c r="I358" s="918"/>
      <c r="J358" s="917">
        <v>1437905</v>
      </c>
    </row>
    <row r="359" spans="1:10">
      <c r="A359" t="s">
        <v>4064</v>
      </c>
      <c r="B359" s="915" t="s">
        <v>3826</v>
      </c>
      <c r="C359" s="915" t="str">
        <f t="shared" si="5"/>
        <v>11월</v>
      </c>
      <c r="D359" s="916" t="s">
        <v>4058</v>
      </c>
      <c r="E359" s="916"/>
      <c r="F359" s="916" t="s">
        <v>4059</v>
      </c>
      <c r="G359" s="915"/>
      <c r="H359" s="917">
        <v>50000</v>
      </c>
      <c r="I359" s="918"/>
      <c r="J359" s="918"/>
    </row>
    <row r="360" spans="1:10">
      <c r="A360" t="s">
        <v>3871</v>
      </c>
      <c r="B360" s="915" t="s">
        <v>3748</v>
      </c>
      <c r="C360" s="915" t="str">
        <f t="shared" si="5"/>
        <v>6월</v>
      </c>
      <c r="D360" s="916" t="s">
        <v>3740</v>
      </c>
      <c r="E360" s="916"/>
      <c r="F360" s="916" t="s">
        <v>3657</v>
      </c>
      <c r="G360" s="915"/>
      <c r="H360" s="917">
        <v>50000</v>
      </c>
      <c r="I360" s="918"/>
      <c r="J360" s="917">
        <v>-218069</v>
      </c>
    </row>
    <row r="361" spans="1:10">
      <c r="A361" t="s">
        <v>3871</v>
      </c>
      <c r="B361" s="915" t="s">
        <v>3777</v>
      </c>
      <c r="C361" s="915" t="str">
        <f t="shared" si="5"/>
        <v>8월</v>
      </c>
      <c r="D361" s="916" t="s">
        <v>3641</v>
      </c>
      <c r="E361" s="916"/>
      <c r="F361" s="916" t="s">
        <v>3778</v>
      </c>
      <c r="G361" s="915"/>
      <c r="H361" s="917">
        <v>50000</v>
      </c>
      <c r="I361" s="918"/>
      <c r="J361" s="917">
        <v>947581</v>
      </c>
    </row>
    <row r="362" spans="1:10">
      <c r="A362" t="s">
        <v>4629</v>
      </c>
      <c r="B362" s="915" t="s">
        <v>3974</v>
      </c>
      <c r="C362" s="915" t="str">
        <f t="shared" si="5"/>
        <v>9월</v>
      </c>
      <c r="D362" s="916" t="s">
        <v>4619</v>
      </c>
      <c r="E362" s="916" t="s">
        <v>4602</v>
      </c>
      <c r="F362" s="916" t="s">
        <v>4603</v>
      </c>
      <c r="G362" s="915" t="s">
        <v>4604</v>
      </c>
      <c r="H362" s="917">
        <v>49500</v>
      </c>
      <c r="I362" s="918"/>
      <c r="J362" s="917">
        <v>543300</v>
      </c>
    </row>
    <row r="363" spans="1:10">
      <c r="A363" t="s">
        <v>3871</v>
      </c>
      <c r="B363" s="915" t="s">
        <v>3795</v>
      </c>
      <c r="C363" s="915" t="str">
        <f t="shared" si="5"/>
        <v>9월</v>
      </c>
      <c r="D363" s="916" t="s">
        <v>3797</v>
      </c>
      <c r="E363" s="916"/>
      <c r="F363" s="916" t="s">
        <v>3798</v>
      </c>
      <c r="G363" s="915"/>
      <c r="H363" s="917">
        <v>48000</v>
      </c>
      <c r="I363" s="918"/>
      <c r="J363" s="917">
        <v>1459081</v>
      </c>
    </row>
    <row r="364" spans="1:10">
      <c r="A364" t="s">
        <v>3871</v>
      </c>
      <c r="B364" s="915" t="s">
        <v>3754</v>
      </c>
      <c r="C364" s="915" t="str">
        <f t="shared" si="5"/>
        <v>6월</v>
      </c>
      <c r="D364" s="916" t="s">
        <v>3641</v>
      </c>
      <c r="E364" s="916"/>
      <c r="F364" s="916" t="s">
        <v>3726</v>
      </c>
      <c r="G364" s="915"/>
      <c r="H364" s="917">
        <v>47300</v>
      </c>
      <c r="I364" s="918"/>
      <c r="J364" s="918"/>
    </row>
    <row r="365" spans="1:10">
      <c r="A365" t="s">
        <v>3871</v>
      </c>
      <c r="B365" s="915" t="s">
        <v>3841</v>
      </c>
      <c r="C365" s="915" t="str">
        <f t="shared" si="5"/>
        <v>11월</v>
      </c>
      <c r="D365" s="916" t="s">
        <v>3660</v>
      </c>
      <c r="E365" s="916"/>
      <c r="F365" s="916" t="s">
        <v>3615</v>
      </c>
      <c r="G365" s="915"/>
      <c r="H365" s="917">
        <v>47080</v>
      </c>
      <c r="I365" s="918"/>
      <c r="J365" s="918"/>
    </row>
    <row r="366" spans="1:10">
      <c r="A366" t="s">
        <v>3871</v>
      </c>
      <c r="B366" s="915" t="s">
        <v>3645</v>
      </c>
      <c r="C366" s="915" t="str">
        <f t="shared" si="5"/>
        <v>1월</v>
      </c>
      <c r="D366" s="916" t="s">
        <v>3646</v>
      </c>
      <c r="E366" s="916" t="s">
        <v>3647</v>
      </c>
      <c r="F366" s="916" t="s">
        <v>3648</v>
      </c>
      <c r="G366" s="915"/>
      <c r="H366" s="917">
        <v>45500</v>
      </c>
      <c r="I366" s="918"/>
      <c r="J366" s="917">
        <v>324370</v>
      </c>
    </row>
    <row r="367" spans="1:10">
      <c r="A367" t="s">
        <v>4010</v>
      </c>
      <c r="B367" s="915" t="s">
        <v>3616</v>
      </c>
      <c r="C367" s="915" t="str">
        <f t="shared" si="5"/>
        <v>9월</v>
      </c>
      <c r="D367" s="916" t="s">
        <v>3978</v>
      </c>
      <c r="E367" s="916"/>
      <c r="F367" s="916" t="s">
        <v>3979</v>
      </c>
      <c r="G367" s="915"/>
      <c r="H367" s="917">
        <v>45000</v>
      </c>
      <c r="I367" s="918"/>
      <c r="J367" s="918"/>
    </row>
    <row r="368" spans="1:10">
      <c r="A368" t="s">
        <v>3871</v>
      </c>
      <c r="B368" s="915" t="s">
        <v>3779</v>
      </c>
      <c r="C368" s="915" t="str">
        <f t="shared" si="5"/>
        <v>8월</v>
      </c>
      <c r="D368" s="916" t="s">
        <v>3660</v>
      </c>
      <c r="E368" s="916"/>
      <c r="F368" s="916" t="s">
        <v>3784</v>
      </c>
      <c r="G368" s="915"/>
      <c r="H368" s="917">
        <v>45000</v>
      </c>
      <c r="I368" s="918"/>
      <c r="J368" s="917">
        <v>1146481</v>
      </c>
    </row>
    <row r="369" spans="1:10">
      <c r="A369" t="s">
        <v>3870</v>
      </c>
      <c r="B369" s="915" t="s">
        <v>3616</v>
      </c>
      <c r="C369" s="915" t="str">
        <f t="shared" si="5"/>
        <v>9월</v>
      </c>
      <c r="D369" s="916" t="s">
        <v>3617</v>
      </c>
      <c r="E369" s="916"/>
      <c r="F369" s="916" t="s">
        <v>3610</v>
      </c>
      <c r="G369" s="915"/>
      <c r="H369" s="917">
        <v>44400</v>
      </c>
      <c r="I369" s="918"/>
      <c r="J369" s="918"/>
    </row>
    <row r="370" spans="1:10">
      <c r="A370" t="s">
        <v>4765</v>
      </c>
      <c r="B370" s="915" t="s">
        <v>4124</v>
      </c>
      <c r="C370" s="915" t="str">
        <f t="shared" si="5"/>
        <v>9월</v>
      </c>
      <c r="D370" s="916" t="s">
        <v>4729</v>
      </c>
      <c r="E370" s="916" t="s">
        <v>4730</v>
      </c>
      <c r="F370" s="916" t="s">
        <v>4731</v>
      </c>
      <c r="G370" s="915" t="s">
        <v>4732</v>
      </c>
      <c r="H370" s="917">
        <v>44000</v>
      </c>
      <c r="I370" s="918"/>
      <c r="J370" s="918"/>
    </row>
    <row r="371" spans="1:10">
      <c r="A371" t="s">
        <v>3871</v>
      </c>
      <c r="B371" s="915" t="s">
        <v>3829</v>
      </c>
      <c r="C371" s="915" t="str">
        <f t="shared" si="5"/>
        <v>11월</v>
      </c>
      <c r="D371" s="916" t="s">
        <v>3660</v>
      </c>
      <c r="E371" s="916"/>
      <c r="F371" s="916" t="s">
        <v>3833</v>
      </c>
      <c r="G371" s="915"/>
      <c r="H371" s="917">
        <v>43000</v>
      </c>
      <c r="I371" s="918"/>
      <c r="J371" s="918"/>
    </row>
    <row r="372" spans="1:10">
      <c r="A372" t="s">
        <v>3871</v>
      </c>
      <c r="B372" s="915" t="s">
        <v>3801</v>
      </c>
      <c r="C372" s="915" t="str">
        <f t="shared" si="5"/>
        <v>9월</v>
      </c>
      <c r="D372" s="916" t="s">
        <v>3660</v>
      </c>
      <c r="E372" s="916"/>
      <c r="F372" s="916" t="s">
        <v>3802</v>
      </c>
      <c r="G372" s="915"/>
      <c r="H372" s="917">
        <v>42500</v>
      </c>
      <c r="I372" s="918"/>
      <c r="J372" s="917">
        <v>1558581</v>
      </c>
    </row>
    <row r="373" spans="1:10">
      <c r="A373" t="s">
        <v>3871</v>
      </c>
      <c r="B373" s="915" t="s">
        <v>3777</v>
      </c>
      <c r="C373" s="915" t="str">
        <f t="shared" si="5"/>
        <v>8월</v>
      </c>
      <c r="D373" s="916" t="s">
        <v>3660</v>
      </c>
      <c r="E373" s="916"/>
      <c r="F373" s="916" t="s">
        <v>3724</v>
      </c>
      <c r="G373" s="915"/>
      <c r="H373" s="917">
        <v>42000</v>
      </c>
      <c r="I373" s="918"/>
      <c r="J373" s="918"/>
    </row>
    <row r="374" spans="1:10">
      <c r="A374" t="s">
        <v>4650</v>
      </c>
      <c r="B374" s="915" t="s">
        <v>3667</v>
      </c>
      <c r="C374" s="915" t="str">
        <f t="shared" si="5"/>
        <v>2월</v>
      </c>
      <c r="D374" s="916" t="s">
        <v>4636</v>
      </c>
      <c r="E374" s="916" t="s">
        <v>4638</v>
      </c>
      <c r="F374" s="916" t="s">
        <v>4635</v>
      </c>
      <c r="G374" s="915" t="s">
        <v>4639</v>
      </c>
      <c r="H374" s="917">
        <v>41750</v>
      </c>
      <c r="I374" s="918"/>
      <c r="J374" s="918"/>
    </row>
    <row r="375" spans="1:10">
      <c r="A375" t="s">
        <v>3871</v>
      </c>
      <c r="B375" s="915" t="s">
        <v>3601</v>
      </c>
      <c r="C375" s="915" t="str">
        <f t="shared" si="5"/>
        <v>2월</v>
      </c>
      <c r="D375" s="916" t="s">
        <v>3660</v>
      </c>
      <c r="E375" s="916"/>
      <c r="F375" s="916" t="s">
        <v>3664</v>
      </c>
      <c r="G375" s="915"/>
      <c r="H375" s="917">
        <v>41000</v>
      </c>
      <c r="I375" s="918"/>
      <c r="J375" s="918"/>
    </row>
    <row r="376" spans="1:10">
      <c r="A376" t="s">
        <v>3871</v>
      </c>
      <c r="B376" s="915" t="s">
        <v>3720</v>
      </c>
      <c r="C376" s="915" t="str">
        <f t="shared" si="5"/>
        <v>4월</v>
      </c>
      <c r="D376" s="916" t="s">
        <v>3641</v>
      </c>
      <c r="E376" s="916"/>
      <c r="F376" s="916" t="s">
        <v>3721</v>
      </c>
      <c r="G376" s="915"/>
      <c r="H376" s="917">
        <v>40700</v>
      </c>
      <c r="I376" s="918"/>
      <c r="J376" s="917">
        <v>-1366490</v>
      </c>
    </row>
    <row r="377" spans="1:10">
      <c r="A377" t="s">
        <v>3871</v>
      </c>
      <c r="B377" s="915" t="s">
        <v>3807</v>
      </c>
      <c r="C377" s="915" t="str">
        <f t="shared" si="5"/>
        <v>10월</v>
      </c>
      <c r="D377" s="916" t="s">
        <v>3703</v>
      </c>
      <c r="E377" s="916"/>
      <c r="F377" s="916" t="s">
        <v>3802</v>
      </c>
      <c r="G377" s="915"/>
      <c r="H377" s="917">
        <v>40500</v>
      </c>
      <c r="I377" s="918"/>
      <c r="J377" s="918"/>
    </row>
    <row r="378" spans="1:10">
      <c r="A378" t="s">
        <v>3871</v>
      </c>
      <c r="B378" s="915" t="s">
        <v>3824</v>
      </c>
      <c r="C378" s="915" t="str">
        <f t="shared" si="5"/>
        <v>10월</v>
      </c>
      <c r="D378" s="916" t="s">
        <v>3641</v>
      </c>
      <c r="E378" s="916"/>
      <c r="F378" s="916" t="s">
        <v>3825</v>
      </c>
      <c r="G378" s="915"/>
      <c r="H378" s="917">
        <v>40000</v>
      </c>
      <c r="I378" s="918"/>
      <c r="J378" s="917">
        <v>1848381</v>
      </c>
    </row>
    <row r="379" spans="1:10">
      <c r="A379" t="s">
        <v>3871</v>
      </c>
      <c r="B379" s="915" t="s">
        <v>3767</v>
      </c>
      <c r="C379" s="915" t="str">
        <f t="shared" si="5"/>
        <v>7월</v>
      </c>
      <c r="D379" s="916" t="s">
        <v>3769</v>
      </c>
      <c r="E379" s="916"/>
      <c r="F379" s="916" t="s">
        <v>3610</v>
      </c>
      <c r="G379" s="915"/>
      <c r="H379" s="917">
        <v>39900</v>
      </c>
      <c r="I379" s="918"/>
      <c r="J379" s="917">
        <v>572081</v>
      </c>
    </row>
    <row r="380" spans="1:10" ht="22.5">
      <c r="A380" t="s">
        <v>4765</v>
      </c>
      <c r="B380" s="915" t="s">
        <v>3649</v>
      </c>
      <c r="C380" s="915" t="str">
        <f t="shared" si="5"/>
        <v>1월</v>
      </c>
      <c r="D380" s="916" t="s">
        <v>4674</v>
      </c>
      <c r="E380" s="916"/>
      <c r="F380" s="916" t="s">
        <v>4675</v>
      </c>
      <c r="G380" s="915"/>
      <c r="H380" s="917">
        <v>39700</v>
      </c>
      <c r="I380" s="918"/>
      <c r="J380" s="918"/>
    </row>
    <row r="381" spans="1:10" ht="22.5">
      <c r="A381" t="s">
        <v>4765</v>
      </c>
      <c r="B381" s="915" t="s">
        <v>3693</v>
      </c>
      <c r="C381" s="915" t="str">
        <f t="shared" si="5"/>
        <v>3월</v>
      </c>
      <c r="D381" s="916" t="s">
        <v>4674</v>
      </c>
      <c r="E381" s="916"/>
      <c r="F381" s="916" t="s">
        <v>4675</v>
      </c>
      <c r="G381" s="915"/>
      <c r="H381" s="917">
        <v>39000</v>
      </c>
      <c r="I381" s="918"/>
      <c r="J381" s="917">
        <v>2742700</v>
      </c>
    </row>
    <row r="382" spans="1:10">
      <c r="A382" t="s">
        <v>3871</v>
      </c>
      <c r="B382" s="915" t="s">
        <v>3772</v>
      </c>
      <c r="C382" s="915" t="str">
        <f t="shared" si="5"/>
        <v>7월</v>
      </c>
      <c r="D382" s="916" t="s">
        <v>3773</v>
      </c>
      <c r="E382" s="916"/>
      <c r="F382" s="916" t="s">
        <v>3610</v>
      </c>
      <c r="G382" s="915"/>
      <c r="H382" s="917">
        <v>38700</v>
      </c>
      <c r="I382" s="918"/>
      <c r="J382" s="918"/>
    </row>
    <row r="383" spans="1:10">
      <c r="A383" t="s">
        <v>4362</v>
      </c>
      <c r="B383" s="915" t="s">
        <v>3676</v>
      </c>
      <c r="C383" s="915" t="str">
        <f t="shared" si="5"/>
        <v>2월</v>
      </c>
      <c r="D383" s="916" t="s">
        <v>4306</v>
      </c>
      <c r="E383" s="916" t="s">
        <v>4294</v>
      </c>
      <c r="F383" s="916" t="s">
        <v>4295</v>
      </c>
      <c r="G383" s="915" t="s">
        <v>4296</v>
      </c>
      <c r="H383" s="917">
        <v>38000</v>
      </c>
      <c r="I383" s="918"/>
      <c r="J383" s="918"/>
    </row>
    <row r="384" spans="1:10">
      <c r="A384" t="s">
        <v>3871</v>
      </c>
      <c r="B384" s="915" t="s">
        <v>3779</v>
      </c>
      <c r="C384" s="915" t="str">
        <f t="shared" si="5"/>
        <v>8월</v>
      </c>
      <c r="D384" s="916" t="s">
        <v>3660</v>
      </c>
      <c r="E384" s="916"/>
      <c r="F384" s="916" t="s">
        <v>3679</v>
      </c>
      <c r="G384" s="915"/>
      <c r="H384" s="917">
        <v>38000</v>
      </c>
      <c r="I384" s="918"/>
      <c r="J384" s="918"/>
    </row>
    <row r="385" spans="1:10">
      <c r="A385" t="s">
        <v>3871</v>
      </c>
      <c r="B385" s="915" t="s">
        <v>3864</v>
      </c>
      <c r="C385" s="915" t="str">
        <f t="shared" si="5"/>
        <v>12월</v>
      </c>
      <c r="D385" s="916" t="s">
        <v>3660</v>
      </c>
      <c r="E385" s="916"/>
      <c r="F385" s="916" t="s">
        <v>3652</v>
      </c>
      <c r="G385" s="915"/>
      <c r="H385" s="917">
        <v>37400</v>
      </c>
      <c r="I385" s="918"/>
      <c r="J385" s="918"/>
    </row>
    <row r="386" spans="1:10" ht="22.5">
      <c r="A386" t="s">
        <v>4765</v>
      </c>
      <c r="B386" s="915" t="s">
        <v>4181</v>
      </c>
      <c r="C386" s="915" t="str">
        <f t="shared" ref="C386:C449" si="6">MONTH(B386)&amp;"월"</f>
        <v>4월</v>
      </c>
      <c r="D386" s="916" t="s">
        <v>4674</v>
      </c>
      <c r="E386" s="916"/>
      <c r="F386" s="916" t="s">
        <v>4675</v>
      </c>
      <c r="G386" s="915"/>
      <c r="H386" s="917">
        <v>37000</v>
      </c>
      <c r="I386" s="918"/>
      <c r="J386" s="917">
        <v>3819700</v>
      </c>
    </row>
    <row r="387" spans="1:10">
      <c r="A387" t="s">
        <v>4010</v>
      </c>
      <c r="B387" s="915" t="s">
        <v>3613</v>
      </c>
      <c r="C387" s="915" t="str">
        <f t="shared" si="6"/>
        <v>6월</v>
      </c>
      <c r="D387" s="916" t="s">
        <v>3964</v>
      </c>
      <c r="E387" s="916"/>
      <c r="F387" s="916" t="s">
        <v>3610</v>
      </c>
      <c r="G387" s="915"/>
      <c r="H387" s="917">
        <v>36900</v>
      </c>
      <c r="I387" s="918"/>
      <c r="J387" s="918"/>
    </row>
    <row r="388" spans="1:10">
      <c r="A388" t="s">
        <v>4010</v>
      </c>
      <c r="B388" s="915" t="s">
        <v>3696</v>
      </c>
      <c r="C388" s="915" t="str">
        <f t="shared" si="6"/>
        <v>3월</v>
      </c>
      <c r="D388" s="916" t="s">
        <v>3943</v>
      </c>
      <c r="E388" s="916"/>
      <c r="F388" s="916" t="s">
        <v>3600</v>
      </c>
      <c r="G388" s="915"/>
      <c r="H388" s="917">
        <v>36560</v>
      </c>
      <c r="I388" s="918"/>
      <c r="J388" s="918"/>
    </row>
    <row r="389" spans="1:10">
      <c r="A389" t="s">
        <v>3921</v>
      </c>
      <c r="B389" s="915" t="s">
        <v>3912</v>
      </c>
      <c r="C389" s="915" t="str">
        <f t="shared" si="6"/>
        <v>10월</v>
      </c>
      <c r="D389" s="916" t="s">
        <v>3913</v>
      </c>
      <c r="E389" s="916"/>
      <c r="F389" s="916" t="s">
        <v>3917</v>
      </c>
      <c r="G389" s="915"/>
      <c r="H389" s="917">
        <v>36000</v>
      </c>
      <c r="I389" s="918"/>
      <c r="J389" s="918"/>
    </row>
    <row r="390" spans="1:10">
      <c r="A390" t="s">
        <v>4597</v>
      </c>
      <c r="B390" s="915" t="s">
        <v>3613</v>
      </c>
      <c r="C390" s="915" t="str">
        <f t="shared" si="6"/>
        <v>6월</v>
      </c>
      <c r="D390" s="916" t="s">
        <v>4394</v>
      </c>
      <c r="E390" s="916" t="s">
        <v>4369</v>
      </c>
      <c r="F390" s="916" t="s">
        <v>4370</v>
      </c>
      <c r="G390" s="915"/>
      <c r="H390" s="917">
        <v>35904</v>
      </c>
      <c r="I390" s="918"/>
      <c r="J390" s="918"/>
    </row>
    <row r="391" spans="1:10">
      <c r="A391" t="s">
        <v>3871</v>
      </c>
      <c r="B391" s="915" t="s">
        <v>3616</v>
      </c>
      <c r="C391" s="915" t="str">
        <f t="shared" si="6"/>
        <v>9월</v>
      </c>
      <c r="D391" s="916" t="s">
        <v>3803</v>
      </c>
      <c r="E391" s="916"/>
      <c r="F391" s="916" t="s">
        <v>3804</v>
      </c>
      <c r="G391" s="915"/>
      <c r="H391" s="917">
        <v>35200</v>
      </c>
      <c r="I391" s="918"/>
      <c r="J391" s="918"/>
    </row>
    <row r="392" spans="1:10">
      <c r="A392" t="s">
        <v>4597</v>
      </c>
      <c r="B392" s="915" t="s">
        <v>4069</v>
      </c>
      <c r="C392" s="915" t="str">
        <f t="shared" si="6"/>
        <v>2월</v>
      </c>
      <c r="D392" s="916" t="s">
        <v>4372</v>
      </c>
      <c r="E392" s="916" t="s">
        <v>4373</v>
      </c>
      <c r="F392" s="916" t="s">
        <v>4374</v>
      </c>
      <c r="G392" s="915" t="s">
        <v>4375</v>
      </c>
      <c r="H392" s="917">
        <v>35000</v>
      </c>
      <c r="I392" s="918"/>
      <c r="J392" s="917">
        <v>627516</v>
      </c>
    </row>
    <row r="393" spans="1:10">
      <c r="A393" t="s">
        <v>4597</v>
      </c>
      <c r="B393" s="915" t="s">
        <v>4422</v>
      </c>
      <c r="C393" s="915" t="str">
        <f t="shared" si="6"/>
        <v>3월</v>
      </c>
      <c r="D393" s="916" t="s">
        <v>4425</v>
      </c>
      <c r="E393" s="916" t="s">
        <v>4373</v>
      </c>
      <c r="F393" s="916" t="s">
        <v>4374</v>
      </c>
      <c r="G393" s="915" t="s">
        <v>4375</v>
      </c>
      <c r="H393" s="917">
        <v>35000</v>
      </c>
      <c r="I393" s="918"/>
      <c r="J393" s="917">
        <v>1283835</v>
      </c>
    </row>
    <row r="394" spans="1:10">
      <c r="A394" t="s">
        <v>3871</v>
      </c>
      <c r="B394" s="915" t="s">
        <v>3649</v>
      </c>
      <c r="C394" s="915" t="str">
        <f t="shared" si="6"/>
        <v>1월</v>
      </c>
      <c r="D394" s="916" t="s">
        <v>3651</v>
      </c>
      <c r="E394" s="916"/>
      <c r="F394" s="916" t="s">
        <v>3657</v>
      </c>
      <c r="G394" s="915"/>
      <c r="H394" s="917">
        <v>35000</v>
      </c>
      <c r="I394" s="918"/>
      <c r="J394" s="918"/>
    </row>
    <row r="395" spans="1:10">
      <c r="A395" t="s">
        <v>4597</v>
      </c>
      <c r="B395" s="915" t="s">
        <v>4441</v>
      </c>
      <c r="C395" s="915" t="str">
        <f t="shared" si="6"/>
        <v>4월</v>
      </c>
      <c r="D395" s="916" t="s">
        <v>4442</v>
      </c>
      <c r="E395" s="916" t="s">
        <v>4373</v>
      </c>
      <c r="F395" s="916" t="s">
        <v>4374</v>
      </c>
      <c r="G395" s="915" t="s">
        <v>4375</v>
      </c>
      <c r="H395" s="917">
        <v>35000</v>
      </c>
      <c r="I395" s="918"/>
      <c r="J395" s="917">
        <v>2304959</v>
      </c>
    </row>
    <row r="396" spans="1:10">
      <c r="A396" t="s">
        <v>4597</v>
      </c>
      <c r="B396" s="915" t="s">
        <v>3728</v>
      </c>
      <c r="C396" s="915" t="str">
        <f t="shared" si="6"/>
        <v>5월</v>
      </c>
      <c r="D396" s="916" t="s">
        <v>4464</v>
      </c>
      <c r="E396" s="916" t="s">
        <v>4373</v>
      </c>
      <c r="F396" s="916" t="s">
        <v>4374</v>
      </c>
      <c r="G396" s="915" t="s">
        <v>4375</v>
      </c>
      <c r="H396" s="917">
        <v>35000</v>
      </c>
      <c r="I396" s="918"/>
      <c r="J396" s="917">
        <v>11843501</v>
      </c>
    </row>
    <row r="397" spans="1:10">
      <c r="A397" t="s">
        <v>3870</v>
      </c>
      <c r="B397" s="915" t="s">
        <v>3596</v>
      </c>
      <c r="C397" s="915" t="str">
        <f t="shared" si="6"/>
        <v>2월</v>
      </c>
      <c r="D397" s="916" t="s">
        <v>3597</v>
      </c>
      <c r="E397" s="916"/>
      <c r="F397" s="916" t="s">
        <v>3598</v>
      </c>
      <c r="G397" s="915"/>
      <c r="H397" s="917">
        <v>35000</v>
      </c>
      <c r="I397" s="918"/>
      <c r="J397" s="918"/>
    </row>
    <row r="398" spans="1:10">
      <c r="A398" t="s">
        <v>4597</v>
      </c>
      <c r="B398" s="915" t="s">
        <v>4481</v>
      </c>
      <c r="C398" s="915" t="str">
        <f t="shared" si="6"/>
        <v>6월</v>
      </c>
      <c r="D398" s="916" t="s">
        <v>4482</v>
      </c>
      <c r="E398" s="916" t="s">
        <v>4373</v>
      </c>
      <c r="F398" s="916" t="s">
        <v>4374</v>
      </c>
      <c r="G398" s="915" t="s">
        <v>4375</v>
      </c>
      <c r="H398" s="917">
        <v>35000</v>
      </c>
      <c r="I398" s="918"/>
      <c r="J398" s="917">
        <v>15814173</v>
      </c>
    </row>
    <row r="399" spans="1:10">
      <c r="A399" t="s">
        <v>4597</v>
      </c>
      <c r="B399" s="915" t="s">
        <v>3763</v>
      </c>
      <c r="C399" s="915" t="str">
        <f t="shared" si="6"/>
        <v>7월</v>
      </c>
      <c r="D399" s="916" t="s">
        <v>4504</v>
      </c>
      <c r="E399" s="916" t="s">
        <v>4373</v>
      </c>
      <c r="F399" s="916" t="s">
        <v>4374</v>
      </c>
      <c r="G399" s="915" t="s">
        <v>4375</v>
      </c>
      <c r="H399" s="917">
        <v>35000</v>
      </c>
      <c r="I399" s="918"/>
      <c r="J399" s="917">
        <v>16431840</v>
      </c>
    </row>
    <row r="400" spans="1:10">
      <c r="A400" t="s">
        <v>4597</v>
      </c>
      <c r="B400" s="915" t="s">
        <v>4521</v>
      </c>
      <c r="C400" s="915" t="str">
        <f t="shared" si="6"/>
        <v>8월</v>
      </c>
      <c r="D400" s="916" t="s">
        <v>4522</v>
      </c>
      <c r="E400" s="916" t="s">
        <v>4373</v>
      </c>
      <c r="F400" s="916" t="s">
        <v>4374</v>
      </c>
      <c r="G400" s="915" t="s">
        <v>4375</v>
      </c>
      <c r="H400" s="917">
        <v>35000</v>
      </c>
      <c r="I400" s="918"/>
      <c r="J400" s="918"/>
    </row>
    <row r="401" spans="1:10">
      <c r="A401" t="s">
        <v>4597</v>
      </c>
      <c r="B401" s="915" t="s">
        <v>3795</v>
      </c>
      <c r="C401" s="915" t="str">
        <f t="shared" si="6"/>
        <v>9월</v>
      </c>
      <c r="D401" s="916" t="s">
        <v>4539</v>
      </c>
      <c r="E401" s="916" t="s">
        <v>4373</v>
      </c>
      <c r="F401" s="916" t="s">
        <v>4374</v>
      </c>
      <c r="G401" s="915" t="s">
        <v>4375</v>
      </c>
      <c r="H401" s="917">
        <v>35000</v>
      </c>
      <c r="I401" s="918"/>
      <c r="J401" s="917">
        <v>18557054</v>
      </c>
    </row>
    <row r="402" spans="1:10">
      <c r="A402" t="s">
        <v>4597</v>
      </c>
      <c r="B402" s="915" t="s">
        <v>3807</v>
      </c>
      <c r="C402" s="915" t="str">
        <f t="shared" si="6"/>
        <v>10월</v>
      </c>
      <c r="D402" s="916" t="s">
        <v>4539</v>
      </c>
      <c r="E402" s="916" t="s">
        <v>4373</v>
      </c>
      <c r="F402" s="916" t="s">
        <v>4374</v>
      </c>
      <c r="G402" s="915" t="s">
        <v>4375</v>
      </c>
      <c r="H402" s="917">
        <v>35000</v>
      </c>
      <c r="I402" s="918"/>
      <c r="J402" s="917">
        <v>19045499</v>
      </c>
    </row>
    <row r="403" spans="1:10">
      <c r="A403" t="s">
        <v>4597</v>
      </c>
      <c r="B403" s="915" t="s">
        <v>4556</v>
      </c>
      <c r="C403" s="915" t="str">
        <f t="shared" si="6"/>
        <v>11월</v>
      </c>
      <c r="D403" s="916" t="s">
        <v>4564</v>
      </c>
      <c r="E403" s="916" t="s">
        <v>4373</v>
      </c>
      <c r="F403" s="916" t="s">
        <v>4374</v>
      </c>
      <c r="G403" s="915" t="s">
        <v>4375</v>
      </c>
      <c r="H403" s="917">
        <v>35000</v>
      </c>
      <c r="I403" s="918"/>
      <c r="J403" s="917">
        <v>19566444</v>
      </c>
    </row>
    <row r="404" spans="1:10">
      <c r="A404" t="s">
        <v>4597</v>
      </c>
      <c r="B404" s="915" t="s">
        <v>3856</v>
      </c>
      <c r="C404" s="915" t="str">
        <f t="shared" si="6"/>
        <v>12월</v>
      </c>
      <c r="D404" s="916" t="s">
        <v>4590</v>
      </c>
      <c r="E404" s="916" t="s">
        <v>4373</v>
      </c>
      <c r="F404" s="916" t="s">
        <v>4374</v>
      </c>
      <c r="G404" s="915" t="s">
        <v>4375</v>
      </c>
      <c r="H404" s="917">
        <v>35000</v>
      </c>
      <c r="I404" s="918"/>
      <c r="J404" s="917">
        <v>20270202</v>
      </c>
    </row>
    <row r="405" spans="1:10" ht="22.5">
      <c r="A405" t="s">
        <v>3921</v>
      </c>
      <c r="B405" s="915" t="s">
        <v>3739</v>
      </c>
      <c r="C405" s="915" t="str">
        <f t="shared" si="6"/>
        <v>5월</v>
      </c>
      <c r="D405" s="916" t="s">
        <v>3907</v>
      </c>
      <c r="E405" s="916"/>
      <c r="F405" s="916" t="s">
        <v>3909</v>
      </c>
      <c r="G405" s="915"/>
      <c r="H405" s="917">
        <v>34774</v>
      </c>
      <c r="I405" s="918"/>
      <c r="J405" s="917">
        <v>2214334</v>
      </c>
    </row>
    <row r="406" spans="1:10">
      <c r="A406" t="s">
        <v>4010</v>
      </c>
      <c r="B406" s="915" t="s">
        <v>4000</v>
      </c>
      <c r="C406" s="915" t="str">
        <f t="shared" si="6"/>
        <v>12월</v>
      </c>
      <c r="D406" s="916" t="s">
        <v>4001</v>
      </c>
      <c r="E406" s="916"/>
      <c r="F406" s="916" t="s">
        <v>3679</v>
      </c>
      <c r="G406" s="915"/>
      <c r="H406" s="917">
        <v>34000</v>
      </c>
      <c r="I406" s="918"/>
      <c r="J406" s="918"/>
    </row>
    <row r="407" spans="1:10">
      <c r="A407" t="s">
        <v>4597</v>
      </c>
      <c r="B407" s="915" t="s">
        <v>3750</v>
      </c>
      <c r="C407" s="915" t="str">
        <f t="shared" si="6"/>
        <v>6월</v>
      </c>
      <c r="D407" s="916" t="s">
        <v>4395</v>
      </c>
      <c r="E407" s="916" t="s">
        <v>4365</v>
      </c>
      <c r="F407" s="916" t="s">
        <v>4366</v>
      </c>
      <c r="G407" s="915"/>
      <c r="H407" s="917">
        <v>33620</v>
      </c>
      <c r="I407" s="918"/>
      <c r="J407" s="917">
        <v>15847793</v>
      </c>
    </row>
    <row r="408" spans="1:10">
      <c r="A408" t="s">
        <v>3921</v>
      </c>
      <c r="B408" s="915" t="s">
        <v>3912</v>
      </c>
      <c r="C408" s="915" t="str">
        <f t="shared" si="6"/>
        <v>10월</v>
      </c>
      <c r="D408" s="916" t="s">
        <v>3913</v>
      </c>
      <c r="E408" s="916"/>
      <c r="F408" s="916" t="s">
        <v>3915</v>
      </c>
      <c r="G408" s="915"/>
      <c r="H408" s="917">
        <v>33553</v>
      </c>
      <c r="I408" s="918"/>
      <c r="J408" s="918"/>
    </row>
    <row r="409" spans="1:10">
      <c r="A409" t="s">
        <v>4765</v>
      </c>
      <c r="B409" s="915" t="s">
        <v>3700</v>
      </c>
      <c r="C409" s="915" t="str">
        <f t="shared" si="6"/>
        <v>3월</v>
      </c>
      <c r="D409" s="916" t="s">
        <v>4685</v>
      </c>
      <c r="E409" s="916" t="s">
        <v>4390</v>
      </c>
      <c r="F409" s="916" t="s">
        <v>4391</v>
      </c>
      <c r="G409" s="915" t="s">
        <v>4392</v>
      </c>
      <c r="H409" s="917">
        <v>33000</v>
      </c>
      <c r="I409" s="918"/>
      <c r="J409" s="917">
        <v>2845700</v>
      </c>
    </row>
    <row r="410" spans="1:10">
      <c r="A410" t="s">
        <v>3871</v>
      </c>
      <c r="B410" s="915" t="s">
        <v>3774</v>
      </c>
      <c r="C410" s="915" t="str">
        <f t="shared" si="6"/>
        <v>7월</v>
      </c>
      <c r="D410" s="916" t="s">
        <v>3641</v>
      </c>
      <c r="E410" s="916"/>
      <c r="F410" s="916" t="s">
        <v>3775</v>
      </c>
      <c r="G410" s="915"/>
      <c r="H410" s="917">
        <v>32500</v>
      </c>
      <c r="I410" s="918"/>
      <c r="J410" s="917">
        <v>788081</v>
      </c>
    </row>
    <row r="411" spans="1:10">
      <c r="A411" t="s">
        <v>3871</v>
      </c>
      <c r="B411" s="915" t="s">
        <v>3838</v>
      </c>
      <c r="C411" s="915" t="str">
        <f t="shared" si="6"/>
        <v>11월</v>
      </c>
      <c r="D411" s="916" t="s">
        <v>3660</v>
      </c>
      <c r="E411" s="916"/>
      <c r="F411" s="916" t="s">
        <v>3833</v>
      </c>
      <c r="G411" s="915"/>
      <c r="H411" s="917">
        <v>32000</v>
      </c>
      <c r="I411" s="918"/>
      <c r="J411" s="918"/>
    </row>
    <row r="412" spans="1:10">
      <c r="A412" t="s">
        <v>4597</v>
      </c>
      <c r="B412" s="915" t="s">
        <v>4363</v>
      </c>
      <c r="C412" s="915" t="str">
        <f t="shared" si="6"/>
        <v>1월</v>
      </c>
      <c r="D412" s="916" t="s">
        <v>4364</v>
      </c>
      <c r="E412" s="916" t="s">
        <v>4365</v>
      </c>
      <c r="F412" s="916" t="s">
        <v>4366</v>
      </c>
      <c r="G412" s="915"/>
      <c r="H412" s="917">
        <v>31740</v>
      </c>
      <c r="I412" s="918"/>
      <c r="J412" s="917">
        <v>31740</v>
      </c>
    </row>
    <row r="413" spans="1:10">
      <c r="A413" t="s">
        <v>4292</v>
      </c>
      <c r="B413" s="915" t="s">
        <v>4236</v>
      </c>
      <c r="C413" s="915" t="str">
        <f t="shared" si="6"/>
        <v>2월</v>
      </c>
      <c r="D413" s="916" t="s">
        <v>4223</v>
      </c>
      <c r="E413" s="916" t="s">
        <v>4224</v>
      </c>
      <c r="F413" s="916" t="s">
        <v>4225</v>
      </c>
      <c r="G413" s="915" t="s">
        <v>4226</v>
      </c>
      <c r="H413" s="917">
        <v>31460</v>
      </c>
      <c r="I413" s="918"/>
      <c r="J413" s="917">
        <v>237550</v>
      </c>
    </row>
    <row r="414" spans="1:10">
      <c r="A414" t="s">
        <v>3870</v>
      </c>
      <c r="B414" s="915" t="s">
        <v>3616</v>
      </c>
      <c r="C414" s="915" t="str">
        <f t="shared" si="6"/>
        <v>9월</v>
      </c>
      <c r="D414" s="916" t="s">
        <v>3617</v>
      </c>
      <c r="E414" s="916"/>
      <c r="F414" s="916" t="s">
        <v>3600</v>
      </c>
      <c r="G414" s="915"/>
      <c r="H414" s="917">
        <v>30860</v>
      </c>
      <c r="I414" s="918"/>
      <c r="J414" s="917">
        <v>831040</v>
      </c>
    </row>
    <row r="415" spans="1:10">
      <c r="A415" t="s">
        <v>4597</v>
      </c>
      <c r="B415" s="915" t="s">
        <v>4167</v>
      </c>
      <c r="C415" s="915" t="str">
        <f t="shared" si="6"/>
        <v>2월</v>
      </c>
      <c r="D415" s="916" t="s">
        <v>4408</v>
      </c>
      <c r="E415" s="916"/>
      <c r="F415" s="916" t="s">
        <v>4409</v>
      </c>
      <c r="G415" s="915"/>
      <c r="H415" s="917">
        <v>30000</v>
      </c>
      <c r="I415" s="918"/>
      <c r="J415" s="918"/>
    </row>
    <row r="416" spans="1:10">
      <c r="A416" t="s">
        <v>4597</v>
      </c>
      <c r="B416" s="915" t="s">
        <v>3685</v>
      </c>
      <c r="C416" s="915" t="str">
        <f t="shared" si="6"/>
        <v>2월</v>
      </c>
      <c r="D416" s="916" t="s">
        <v>4408</v>
      </c>
      <c r="E416" s="916"/>
      <c r="F416" s="916" t="s">
        <v>4413</v>
      </c>
      <c r="G416" s="915"/>
      <c r="H416" s="917">
        <v>30000</v>
      </c>
      <c r="I416" s="918"/>
      <c r="J416" s="917">
        <v>1258176</v>
      </c>
    </row>
    <row r="417" spans="1:10">
      <c r="A417" t="s">
        <v>3871</v>
      </c>
      <c r="B417" s="915" t="s">
        <v>3687</v>
      </c>
      <c r="C417" s="915" t="str">
        <f t="shared" si="6"/>
        <v>2월</v>
      </c>
      <c r="D417" s="916" t="s">
        <v>3660</v>
      </c>
      <c r="E417" s="916"/>
      <c r="F417" s="916" t="s">
        <v>3688</v>
      </c>
      <c r="G417" s="915"/>
      <c r="H417" s="917">
        <v>30000</v>
      </c>
      <c r="I417" s="918"/>
      <c r="J417" s="918"/>
    </row>
    <row r="418" spans="1:10">
      <c r="A418" t="s">
        <v>4010</v>
      </c>
      <c r="B418" s="915" t="s">
        <v>3969</v>
      </c>
      <c r="C418" s="915" t="str">
        <f t="shared" si="6"/>
        <v>7월</v>
      </c>
      <c r="D418" s="916" t="s">
        <v>3963</v>
      </c>
      <c r="E418" s="916"/>
      <c r="F418" s="916" t="s">
        <v>3928</v>
      </c>
      <c r="G418" s="915"/>
      <c r="H418" s="917">
        <v>30000</v>
      </c>
      <c r="I418" s="918"/>
      <c r="J418" s="917">
        <v>2838920</v>
      </c>
    </row>
    <row r="419" spans="1:10">
      <c r="A419" t="s">
        <v>3871</v>
      </c>
      <c r="B419" s="915" t="s">
        <v>3722</v>
      </c>
      <c r="C419" s="915" t="str">
        <f t="shared" si="6"/>
        <v>4월</v>
      </c>
      <c r="D419" s="916" t="s">
        <v>3723</v>
      </c>
      <c r="E419" s="916"/>
      <c r="F419" s="916" t="s">
        <v>3724</v>
      </c>
      <c r="G419" s="915"/>
      <c r="H419" s="917">
        <v>30000</v>
      </c>
      <c r="I419" s="918"/>
      <c r="J419" s="917">
        <v>-1336490</v>
      </c>
    </row>
    <row r="420" spans="1:10">
      <c r="A420" t="s">
        <v>4064</v>
      </c>
      <c r="B420" s="915" t="s">
        <v>3719</v>
      </c>
      <c r="C420" s="915" t="str">
        <f t="shared" si="6"/>
        <v>4월</v>
      </c>
      <c r="D420" s="916" t="s">
        <v>4023</v>
      </c>
      <c r="E420" s="916"/>
      <c r="F420" s="916" t="s">
        <v>4024</v>
      </c>
      <c r="G420" s="915"/>
      <c r="H420" s="917">
        <v>30000</v>
      </c>
      <c r="I420" s="918"/>
      <c r="J420" s="917">
        <v>-139295</v>
      </c>
    </row>
    <row r="421" spans="1:10">
      <c r="A421" t="s">
        <v>4110</v>
      </c>
      <c r="B421" s="915" t="s">
        <v>3635</v>
      </c>
      <c r="C421" s="915" t="str">
        <f t="shared" si="6"/>
        <v>1월</v>
      </c>
      <c r="D421" s="916" t="s">
        <v>4065</v>
      </c>
      <c r="E421" s="916"/>
      <c r="F421" s="916" t="s">
        <v>3644</v>
      </c>
      <c r="G421" s="915"/>
      <c r="H421" s="917">
        <v>30000</v>
      </c>
      <c r="I421" s="918"/>
      <c r="J421" s="917">
        <v>30000</v>
      </c>
    </row>
    <row r="422" spans="1:10">
      <c r="A422" t="s">
        <v>4110</v>
      </c>
      <c r="B422" s="915" t="s">
        <v>3680</v>
      </c>
      <c r="C422" s="915" t="str">
        <f t="shared" si="6"/>
        <v>2월</v>
      </c>
      <c r="D422" s="916" t="s">
        <v>4072</v>
      </c>
      <c r="E422" s="916"/>
      <c r="F422" s="916" t="s">
        <v>4073</v>
      </c>
      <c r="G422" s="915"/>
      <c r="H422" s="917">
        <v>30000</v>
      </c>
      <c r="I422" s="918"/>
      <c r="J422" s="917">
        <v>93500</v>
      </c>
    </row>
    <row r="423" spans="1:10">
      <c r="A423" t="s">
        <v>4655</v>
      </c>
      <c r="B423" s="915" t="s">
        <v>3676</v>
      </c>
      <c r="C423" s="915" t="str">
        <f t="shared" si="6"/>
        <v>2월</v>
      </c>
      <c r="D423" s="916" t="s">
        <v>4651</v>
      </c>
      <c r="E423" s="916"/>
      <c r="F423" s="916" t="s">
        <v>4652</v>
      </c>
      <c r="G423" s="915"/>
      <c r="H423" s="917">
        <v>30000</v>
      </c>
      <c r="I423" s="918"/>
      <c r="J423" s="918"/>
    </row>
    <row r="424" spans="1:10">
      <c r="A424" t="s">
        <v>3871</v>
      </c>
      <c r="B424" s="915" t="s">
        <v>3750</v>
      </c>
      <c r="C424" s="915" t="str">
        <f t="shared" si="6"/>
        <v>6월</v>
      </c>
      <c r="D424" s="916" t="s">
        <v>3660</v>
      </c>
      <c r="E424" s="916"/>
      <c r="F424" s="916" t="s">
        <v>3751</v>
      </c>
      <c r="G424" s="915"/>
      <c r="H424" s="917">
        <v>30000</v>
      </c>
      <c r="I424" s="918"/>
      <c r="J424" s="917">
        <v>-135269</v>
      </c>
    </row>
    <row r="425" spans="1:10">
      <c r="A425" t="s">
        <v>4010</v>
      </c>
      <c r="B425" s="915" t="s">
        <v>3616</v>
      </c>
      <c r="C425" s="915" t="str">
        <f t="shared" si="6"/>
        <v>9월</v>
      </c>
      <c r="D425" s="916" t="s">
        <v>3963</v>
      </c>
      <c r="E425" s="916"/>
      <c r="F425" s="916" t="s">
        <v>3928</v>
      </c>
      <c r="G425" s="915"/>
      <c r="H425" s="917">
        <v>30000</v>
      </c>
      <c r="I425" s="918"/>
      <c r="J425" s="917">
        <v>5524540</v>
      </c>
    </row>
    <row r="426" spans="1:10">
      <c r="A426" t="s">
        <v>4010</v>
      </c>
      <c r="B426" s="915" t="s">
        <v>3996</v>
      </c>
      <c r="C426" s="915" t="str">
        <f t="shared" si="6"/>
        <v>11월</v>
      </c>
      <c r="D426" s="916" t="s">
        <v>3963</v>
      </c>
      <c r="E426" s="916"/>
      <c r="F426" s="916" t="s">
        <v>3928</v>
      </c>
      <c r="G426" s="915"/>
      <c r="H426" s="917">
        <v>30000</v>
      </c>
      <c r="I426" s="918"/>
      <c r="J426" s="917">
        <v>6605890</v>
      </c>
    </row>
    <row r="427" spans="1:10">
      <c r="A427" t="s">
        <v>4597</v>
      </c>
      <c r="B427" s="915" t="s">
        <v>3901</v>
      </c>
      <c r="C427" s="915" t="str">
        <f t="shared" si="6"/>
        <v>11월</v>
      </c>
      <c r="D427" s="916" t="s">
        <v>4571</v>
      </c>
      <c r="E427" s="916"/>
      <c r="F427" s="916" t="s">
        <v>4572</v>
      </c>
      <c r="G427" s="915"/>
      <c r="H427" s="917">
        <v>30000</v>
      </c>
      <c r="I427" s="918"/>
      <c r="J427" s="918"/>
    </row>
    <row r="428" spans="1:10">
      <c r="A428" t="s">
        <v>4765</v>
      </c>
      <c r="B428" s="915" t="s">
        <v>3616</v>
      </c>
      <c r="C428" s="915" t="str">
        <f t="shared" si="6"/>
        <v>9월</v>
      </c>
      <c r="D428" s="916" t="s">
        <v>4735</v>
      </c>
      <c r="E428" s="916"/>
      <c r="F428" s="916" t="s">
        <v>4736</v>
      </c>
      <c r="G428" s="915"/>
      <c r="H428" s="917">
        <v>30000</v>
      </c>
      <c r="I428" s="918"/>
      <c r="J428" s="918"/>
    </row>
    <row r="429" spans="1:10">
      <c r="A429" t="s">
        <v>4765</v>
      </c>
      <c r="B429" s="915" t="s">
        <v>3807</v>
      </c>
      <c r="C429" s="915" t="str">
        <f t="shared" si="6"/>
        <v>10월</v>
      </c>
      <c r="D429" s="916" t="s">
        <v>4738</v>
      </c>
      <c r="E429" s="916"/>
      <c r="F429" s="916" t="s">
        <v>4694</v>
      </c>
      <c r="G429" s="915"/>
      <c r="H429" s="917">
        <v>30000</v>
      </c>
      <c r="I429" s="918"/>
      <c r="J429" s="918"/>
    </row>
    <row r="430" spans="1:10">
      <c r="A430" t="s">
        <v>4292</v>
      </c>
      <c r="B430" s="915" t="s">
        <v>4124</v>
      </c>
      <c r="C430" s="915" t="str">
        <f t="shared" si="6"/>
        <v>9월</v>
      </c>
      <c r="D430" s="916" t="s">
        <v>4223</v>
      </c>
      <c r="E430" s="916" t="s">
        <v>4224</v>
      </c>
      <c r="F430" s="916" t="s">
        <v>4225</v>
      </c>
      <c r="G430" s="915" t="s">
        <v>4226</v>
      </c>
      <c r="H430" s="917">
        <v>29700</v>
      </c>
      <c r="I430" s="918"/>
      <c r="J430" s="917">
        <v>951340</v>
      </c>
    </row>
    <row r="431" spans="1:10">
      <c r="A431" t="s">
        <v>4597</v>
      </c>
      <c r="B431" s="915" t="s">
        <v>3596</v>
      </c>
      <c r="C431" s="915" t="str">
        <f t="shared" si="6"/>
        <v>2월</v>
      </c>
      <c r="D431" s="916" t="s">
        <v>4395</v>
      </c>
      <c r="E431" s="916" t="s">
        <v>4365</v>
      </c>
      <c r="F431" s="916" t="s">
        <v>4366</v>
      </c>
      <c r="G431" s="915"/>
      <c r="H431" s="917">
        <v>29580</v>
      </c>
      <c r="I431" s="918"/>
      <c r="J431" s="918"/>
    </row>
    <row r="432" spans="1:10">
      <c r="A432" t="s">
        <v>3871</v>
      </c>
      <c r="B432" s="915" t="s">
        <v>3838</v>
      </c>
      <c r="C432" s="915" t="str">
        <f t="shared" si="6"/>
        <v>11월</v>
      </c>
      <c r="D432" s="916" t="s">
        <v>3660</v>
      </c>
      <c r="E432" s="916"/>
      <c r="F432" s="916" t="s">
        <v>3840</v>
      </c>
      <c r="G432" s="915"/>
      <c r="H432" s="917">
        <v>29500</v>
      </c>
      <c r="I432" s="918"/>
      <c r="J432" s="918"/>
    </row>
    <row r="433" spans="1:10">
      <c r="A433" t="s">
        <v>4597</v>
      </c>
      <c r="B433" s="915" t="s">
        <v>3747</v>
      </c>
      <c r="C433" s="915" t="str">
        <f t="shared" si="6"/>
        <v>5월</v>
      </c>
      <c r="D433" s="916" t="s">
        <v>4395</v>
      </c>
      <c r="E433" s="916" t="s">
        <v>4365</v>
      </c>
      <c r="F433" s="916" t="s">
        <v>4366</v>
      </c>
      <c r="G433" s="915"/>
      <c r="H433" s="917">
        <v>28940</v>
      </c>
      <c r="I433" s="918"/>
      <c r="J433" s="918"/>
    </row>
    <row r="434" spans="1:10">
      <c r="A434" t="s">
        <v>4597</v>
      </c>
      <c r="B434" s="915" t="s">
        <v>4418</v>
      </c>
      <c r="C434" s="915" t="str">
        <f t="shared" si="6"/>
        <v>3월</v>
      </c>
      <c r="D434" s="916" t="s">
        <v>4395</v>
      </c>
      <c r="E434" s="916" t="s">
        <v>4365</v>
      </c>
      <c r="F434" s="916" t="s">
        <v>4366</v>
      </c>
      <c r="G434" s="915"/>
      <c r="H434" s="917">
        <v>28820</v>
      </c>
      <c r="I434" s="918"/>
      <c r="J434" s="918"/>
    </row>
    <row r="435" spans="1:10">
      <c r="A435" t="s">
        <v>4597</v>
      </c>
      <c r="B435" s="915" t="s">
        <v>4177</v>
      </c>
      <c r="C435" s="915" t="str">
        <f t="shared" si="6"/>
        <v>3월</v>
      </c>
      <c r="D435" s="916" t="s">
        <v>4395</v>
      </c>
      <c r="E435" s="916" t="s">
        <v>4365</v>
      </c>
      <c r="F435" s="916" t="s">
        <v>4366</v>
      </c>
      <c r="G435" s="915"/>
      <c r="H435" s="917">
        <v>28580</v>
      </c>
      <c r="I435" s="918"/>
      <c r="J435" s="918"/>
    </row>
    <row r="436" spans="1:10">
      <c r="A436" t="s">
        <v>3871</v>
      </c>
      <c r="B436" s="915" t="s">
        <v>3693</v>
      </c>
      <c r="C436" s="915" t="str">
        <f t="shared" si="6"/>
        <v>3월</v>
      </c>
      <c r="D436" s="916" t="s">
        <v>3641</v>
      </c>
      <c r="E436" s="916"/>
      <c r="F436" s="916" t="s">
        <v>3694</v>
      </c>
      <c r="G436" s="915"/>
      <c r="H436" s="917">
        <v>28500</v>
      </c>
      <c r="I436" s="918"/>
      <c r="J436" s="918"/>
    </row>
    <row r="437" spans="1:10">
      <c r="A437" t="s">
        <v>4362</v>
      </c>
      <c r="B437" s="915" t="s">
        <v>3635</v>
      </c>
      <c r="C437" s="915" t="str">
        <f t="shared" si="6"/>
        <v>1월</v>
      </c>
      <c r="D437" s="916" t="s">
        <v>4293</v>
      </c>
      <c r="E437" s="916" t="s">
        <v>4294</v>
      </c>
      <c r="F437" s="916" t="s">
        <v>4295</v>
      </c>
      <c r="G437" s="915" t="s">
        <v>4296</v>
      </c>
      <c r="H437" s="917">
        <v>28000</v>
      </c>
      <c r="I437" s="918"/>
      <c r="J437" s="918"/>
    </row>
    <row r="438" spans="1:10">
      <c r="A438" t="s">
        <v>4597</v>
      </c>
      <c r="B438" s="915" t="s">
        <v>3965</v>
      </c>
      <c r="C438" s="915" t="str">
        <f t="shared" si="6"/>
        <v>7월</v>
      </c>
      <c r="D438" s="916" t="s">
        <v>4395</v>
      </c>
      <c r="E438" s="916" t="s">
        <v>4365</v>
      </c>
      <c r="F438" s="916" t="s">
        <v>4366</v>
      </c>
      <c r="G438" s="915"/>
      <c r="H438" s="917">
        <v>27780</v>
      </c>
      <c r="I438" s="918"/>
      <c r="J438" s="917">
        <v>16456235</v>
      </c>
    </row>
    <row r="439" spans="1:10">
      <c r="A439" t="s">
        <v>4597</v>
      </c>
      <c r="B439" s="915" t="s">
        <v>4019</v>
      </c>
      <c r="C439" s="915" t="str">
        <f t="shared" si="6"/>
        <v>3월</v>
      </c>
      <c r="D439" s="916" t="s">
        <v>4395</v>
      </c>
      <c r="E439" s="916" t="s">
        <v>4365</v>
      </c>
      <c r="F439" s="916" t="s">
        <v>4366</v>
      </c>
      <c r="G439" s="915"/>
      <c r="H439" s="917">
        <v>27400</v>
      </c>
      <c r="I439" s="918"/>
      <c r="J439" s="918"/>
    </row>
    <row r="440" spans="1:10">
      <c r="A440" t="s">
        <v>3870</v>
      </c>
      <c r="B440" s="915" t="s">
        <v>3596</v>
      </c>
      <c r="C440" s="915" t="str">
        <f t="shared" si="6"/>
        <v>2월</v>
      </c>
      <c r="D440" s="916" t="s">
        <v>3597</v>
      </c>
      <c r="E440" s="916"/>
      <c r="F440" s="916" t="s">
        <v>3600</v>
      </c>
      <c r="G440" s="915"/>
      <c r="H440" s="917">
        <v>27230</v>
      </c>
      <c r="I440" s="918"/>
      <c r="J440" s="917">
        <v>74430</v>
      </c>
    </row>
    <row r="441" spans="1:10">
      <c r="A441" t="s">
        <v>4010</v>
      </c>
      <c r="B441" s="915" t="s">
        <v>3687</v>
      </c>
      <c r="C441" s="915" t="str">
        <f t="shared" si="6"/>
        <v>2월</v>
      </c>
      <c r="D441" s="916" t="s">
        <v>3941</v>
      </c>
      <c r="E441" s="916"/>
      <c r="F441" s="916" t="s">
        <v>3942</v>
      </c>
      <c r="G441" s="915"/>
      <c r="H441" s="917">
        <v>27000</v>
      </c>
      <c r="I441" s="918"/>
      <c r="J441" s="917">
        <v>3834600</v>
      </c>
    </row>
    <row r="442" spans="1:10">
      <c r="A442" t="s">
        <v>3871</v>
      </c>
      <c r="B442" s="915" t="s">
        <v>3693</v>
      </c>
      <c r="C442" s="915" t="str">
        <f t="shared" si="6"/>
        <v>3월</v>
      </c>
      <c r="D442" s="916" t="s">
        <v>3641</v>
      </c>
      <c r="E442" s="916"/>
      <c r="F442" s="916" t="s">
        <v>3695</v>
      </c>
      <c r="G442" s="915"/>
      <c r="H442" s="917">
        <v>27000</v>
      </c>
      <c r="I442" s="918"/>
      <c r="J442" s="917">
        <v>1454610</v>
      </c>
    </row>
    <row r="443" spans="1:10">
      <c r="A443" t="s">
        <v>4064</v>
      </c>
      <c r="B443" s="915" t="s">
        <v>3754</v>
      </c>
      <c r="C443" s="915" t="str">
        <f t="shared" si="6"/>
        <v>6월</v>
      </c>
      <c r="D443" s="916" t="s">
        <v>4042</v>
      </c>
      <c r="E443" s="916"/>
      <c r="F443" s="916" t="s">
        <v>4048</v>
      </c>
      <c r="G443" s="915"/>
      <c r="H443" s="917">
        <v>27000</v>
      </c>
      <c r="I443" s="918"/>
      <c r="J443" s="917">
        <v>1387905</v>
      </c>
    </row>
    <row r="444" spans="1:10">
      <c r="A444" t="s">
        <v>4597</v>
      </c>
      <c r="B444" s="915" t="s">
        <v>3795</v>
      </c>
      <c r="C444" s="915" t="str">
        <f t="shared" si="6"/>
        <v>9월</v>
      </c>
      <c r="D444" s="916" t="s">
        <v>4395</v>
      </c>
      <c r="E444" s="916" t="s">
        <v>4365</v>
      </c>
      <c r="F444" s="916" t="s">
        <v>4366</v>
      </c>
      <c r="G444" s="915"/>
      <c r="H444" s="917">
        <v>27000</v>
      </c>
      <c r="I444" s="918"/>
      <c r="J444" s="918"/>
    </row>
    <row r="445" spans="1:10">
      <c r="A445" t="s">
        <v>4597</v>
      </c>
      <c r="B445" s="915" t="s">
        <v>4458</v>
      </c>
      <c r="C445" s="915" t="str">
        <f t="shared" si="6"/>
        <v>5월</v>
      </c>
      <c r="D445" s="916" t="s">
        <v>4395</v>
      </c>
      <c r="E445" s="916" t="s">
        <v>4365</v>
      </c>
      <c r="F445" s="916" t="s">
        <v>4366</v>
      </c>
      <c r="G445" s="915"/>
      <c r="H445" s="917">
        <v>26980</v>
      </c>
      <c r="I445" s="918"/>
      <c r="J445" s="918"/>
    </row>
    <row r="446" spans="1:10">
      <c r="A446" t="s">
        <v>4597</v>
      </c>
      <c r="B446" s="915" t="s">
        <v>4532</v>
      </c>
      <c r="C446" s="915" t="str">
        <f t="shared" si="6"/>
        <v>8월</v>
      </c>
      <c r="D446" s="916" t="s">
        <v>4395</v>
      </c>
      <c r="E446" s="916" t="s">
        <v>4365</v>
      </c>
      <c r="F446" s="916" t="s">
        <v>4366</v>
      </c>
      <c r="G446" s="915"/>
      <c r="H446" s="917">
        <v>26740</v>
      </c>
      <c r="I446" s="918"/>
      <c r="J446" s="918"/>
    </row>
    <row r="447" spans="1:10">
      <c r="A447" t="s">
        <v>4597</v>
      </c>
      <c r="B447" s="915" t="s">
        <v>4518</v>
      </c>
      <c r="C447" s="915" t="str">
        <f t="shared" si="6"/>
        <v>8월</v>
      </c>
      <c r="D447" s="916" t="s">
        <v>4395</v>
      </c>
      <c r="E447" s="916" t="s">
        <v>4365</v>
      </c>
      <c r="F447" s="916" t="s">
        <v>4366</v>
      </c>
      <c r="G447" s="915"/>
      <c r="H447" s="917">
        <v>26640</v>
      </c>
      <c r="I447" s="918"/>
      <c r="J447" s="917">
        <v>17481527</v>
      </c>
    </row>
    <row r="448" spans="1:10">
      <c r="A448" t="s">
        <v>4597</v>
      </c>
      <c r="B448" s="915" t="s">
        <v>4524</v>
      </c>
      <c r="C448" s="915" t="str">
        <f t="shared" si="6"/>
        <v>8월</v>
      </c>
      <c r="D448" s="916" t="s">
        <v>4395</v>
      </c>
      <c r="E448" s="916" t="s">
        <v>4365</v>
      </c>
      <c r="F448" s="916" t="s">
        <v>4366</v>
      </c>
      <c r="G448" s="915"/>
      <c r="H448" s="917">
        <v>26640</v>
      </c>
      <c r="I448" s="918"/>
      <c r="J448" s="917">
        <v>17568646</v>
      </c>
    </row>
    <row r="449" spans="1:10">
      <c r="A449" t="s">
        <v>4597</v>
      </c>
      <c r="B449" s="915" t="s">
        <v>3826</v>
      </c>
      <c r="C449" s="915" t="str">
        <f t="shared" si="6"/>
        <v>11월</v>
      </c>
      <c r="D449" s="916" t="s">
        <v>4395</v>
      </c>
      <c r="E449" s="916" t="s">
        <v>4365</v>
      </c>
      <c r="F449" s="916" t="s">
        <v>4366</v>
      </c>
      <c r="G449" s="915"/>
      <c r="H449" s="917">
        <v>26600</v>
      </c>
      <c r="I449" s="918"/>
      <c r="J449" s="917">
        <v>19081819</v>
      </c>
    </row>
    <row r="450" spans="1:10">
      <c r="A450" t="s">
        <v>3871</v>
      </c>
      <c r="B450" s="915" t="s">
        <v>3841</v>
      </c>
      <c r="C450" s="915" t="str">
        <f t="shared" ref="C450:C513" si="7">MONTH(B450)&amp;"월"</f>
        <v>11월</v>
      </c>
      <c r="D450" s="916" t="s">
        <v>3660</v>
      </c>
      <c r="E450" s="916"/>
      <c r="F450" s="916" t="s">
        <v>3733</v>
      </c>
      <c r="G450" s="915"/>
      <c r="H450" s="917">
        <v>26500</v>
      </c>
      <c r="I450" s="918"/>
      <c r="J450" s="918"/>
    </row>
    <row r="451" spans="1:10">
      <c r="A451" t="s">
        <v>4597</v>
      </c>
      <c r="B451" s="915" t="s">
        <v>4342</v>
      </c>
      <c r="C451" s="915" t="str">
        <f t="shared" si="7"/>
        <v>7월</v>
      </c>
      <c r="D451" s="916" t="s">
        <v>4395</v>
      </c>
      <c r="E451" s="916" t="s">
        <v>4365</v>
      </c>
      <c r="F451" s="916" t="s">
        <v>4366</v>
      </c>
      <c r="G451" s="915"/>
      <c r="H451" s="917">
        <v>26460</v>
      </c>
      <c r="I451" s="918"/>
      <c r="J451" s="917">
        <v>16856300</v>
      </c>
    </row>
    <row r="452" spans="1:10">
      <c r="A452" t="s">
        <v>4629</v>
      </c>
      <c r="B452" s="915" t="s">
        <v>3667</v>
      </c>
      <c r="C452" s="915" t="str">
        <f t="shared" si="7"/>
        <v>2월</v>
      </c>
      <c r="D452" s="916" t="s">
        <v>4601</v>
      </c>
      <c r="E452" s="916" t="s">
        <v>4602</v>
      </c>
      <c r="F452" s="916" t="s">
        <v>4603</v>
      </c>
      <c r="G452" s="915" t="s">
        <v>4604</v>
      </c>
      <c r="H452" s="917">
        <v>26400</v>
      </c>
      <c r="I452" s="918"/>
      <c r="J452" s="917">
        <v>56400</v>
      </c>
    </row>
    <row r="453" spans="1:10">
      <c r="A453" t="s">
        <v>4597</v>
      </c>
      <c r="B453" s="915" t="s">
        <v>3811</v>
      </c>
      <c r="C453" s="915" t="str">
        <f t="shared" si="7"/>
        <v>10월</v>
      </c>
      <c r="D453" s="916" t="s">
        <v>4395</v>
      </c>
      <c r="E453" s="916" t="s">
        <v>4365</v>
      </c>
      <c r="F453" s="916" t="s">
        <v>4366</v>
      </c>
      <c r="G453" s="915"/>
      <c r="H453" s="917">
        <v>26160</v>
      </c>
      <c r="I453" s="918"/>
      <c r="J453" s="917">
        <v>19071659</v>
      </c>
    </row>
    <row r="454" spans="1:10">
      <c r="A454" t="s">
        <v>4597</v>
      </c>
      <c r="B454" s="915" t="s">
        <v>4215</v>
      </c>
      <c r="C454" s="915" t="str">
        <f t="shared" si="7"/>
        <v>12월</v>
      </c>
      <c r="D454" s="916" t="s">
        <v>4395</v>
      </c>
      <c r="E454" s="916" t="s">
        <v>4365</v>
      </c>
      <c r="F454" s="916" t="s">
        <v>4366</v>
      </c>
      <c r="G454" s="915"/>
      <c r="H454" s="917">
        <v>26140</v>
      </c>
      <c r="I454" s="918"/>
      <c r="J454" s="917">
        <v>20296342</v>
      </c>
    </row>
    <row r="455" spans="1:10">
      <c r="A455" t="s">
        <v>4597</v>
      </c>
      <c r="B455" s="915" t="s">
        <v>4543</v>
      </c>
      <c r="C455" s="915" t="str">
        <f t="shared" si="7"/>
        <v>10월</v>
      </c>
      <c r="D455" s="916" t="s">
        <v>4395</v>
      </c>
      <c r="E455" s="916" t="s">
        <v>4365</v>
      </c>
      <c r="F455" s="916" t="s">
        <v>4366</v>
      </c>
      <c r="G455" s="915"/>
      <c r="H455" s="917">
        <v>26120</v>
      </c>
      <c r="I455" s="918"/>
      <c r="J455" s="917">
        <v>18563094</v>
      </c>
    </row>
    <row r="456" spans="1:10">
      <c r="A456" t="s">
        <v>4597</v>
      </c>
      <c r="B456" s="915" t="s">
        <v>3749</v>
      </c>
      <c r="C456" s="915" t="str">
        <f t="shared" si="7"/>
        <v>6월</v>
      </c>
      <c r="D456" s="916" t="s">
        <v>4395</v>
      </c>
      <c r="E456" s="916" t="s">
        <v>4365</v>
      </c>
      <c r="F456" s="916" t="s">
        <v>4366</v>
      </c>
      <c r="G456" s="915"/>
      <c r="H456" s="917">
        <v>26100</v>
      </c>
      <c r="I456" s="918"/>
      <c r="J456" s="918"/>
    </row>
    <row r="457" spans="1:10">
      <c r="A457" t="s">
        <v>3871</v>
      </c>
      <c r="B457" s="915" t="s">
        <v>3829</v>
      </c>
      <c r="C457" s="915" t="str">
        <f t="shared" si="7"/>
        <v>11월</v>
      </c>
      <c r="D457" s="916" t="s">
        <v>3660</v>
      </c>
      <c r="E457" s="916"/>
      <c r="F457" s="916" t="s">
        <v>3834</v>
      </c>
      <c r="G457" s="915"/>
      <c r="H457" s="917">
        <v>26000</v>
      </c>
      <c r="I457" s="918"/>
      <c r="J457" s="918"/>
    </row>
    <row r="458" spans="1:10">
      <c r="A458" t="s">
        <v>3871</v>
      </c>
      <c r="B458" s="915" t="s">
        <v>3856</v>
      </c>
      <c r="C458" s="915" t="str">
        <f t="shared" si="7"/>
        <v>12월</v>
      </c>
      <c r="D458" s="916" t="s">
        <v>3660</v>
      </c>
      <c r="E458" s="916"/>
      <c r="F458" s="916" t="s">
        <v>3724</v>
      </c>
      <c r="G458" s="915"/>
      <c r="H458" s="917">
        <v>26000</v>
      </c>
      <c r="I458" s="918"/>
      <c r="J458" s="917">
        <v>781011</v>
      </c>
    </row>
    <row r="459" spans="1:10">
      <c r="A459" t="s">
        <v>4597</v>
      </c>
      <c r="B459" s="915" t="s">
        <v>3711</v>
      </c>
      <c r="C459" s="915" t="str">
        <f t="shared" si="7"/>
        <v>4월</v>
      </c>
      <c r="D459" s="916" t="s">
        <v>4395</v>
      </c>
      <c r="E459" s="916" t="s">
        <v>4365</v>
      </c>
      <c r="F459" s="916" t="s">
        <v>4366</v>
      </c>
      <c r="G459" s="915"/>
      <c r="H459" s="917">
        <v>25960</v>
      </c>
      <c r="I459" s="918"/>
      <c r="J459" s="917">
        <v>2266527</v>
      </c>
    </row>
    <row r="460" spans="1:10">
      <c r="A460" t="s">
        <v>4597</v>
      </c>
      <c r="B460" s="915" t="s">
        <v>3601</v>
      </c>
      <c r="C460" s="915" t="str">
        <f t="shared" si="7"/>
        <v>2월</v>
      </c>
      <c r="D460" s="916" t="s">
        <v>4395</v>
      </c>
      <c r="E460" s="916" t="s">
        <v>4365</v>
      </c>
      <c r="F460" s="916" t="s">
        <v>4366</v>
      </c>
      <c r="G460" s="915"/>
      <c r="H460" s="917">
        <v>25880</v>
      </c>
      <c r="I460" s="918"/>
      <c r="J460" s="917">
        <v>588916</v>
      </c>
    </row>
    <row r="461" spans="1:10">
      <c r="A461" t="s">
        <v>4597</v>
      </c>
      <c r="B461" s="915" t="s">
        <v>4565</v>
      </c>
      <c r="C461" s="915" t="str">
        <f t="shared" si="7"/>
        <v>11월</v>
      </c>
      <c r="D461" s="916" t="s">
        <v>4395</v>
      </c>
      <c r="E461" s="916" t="s">
        <v>4365</v>
      </c>
      <c r="F461" s="916" t="s">
        <v>4366</v>
      </c>
      <c r="G461" s="915"/>
      <c r="H461" s="917">
        <v>25840</v>
      </c>
      <c r="I461" s="918"/>
      <c r="J461" s="917">
        <v>19592284</v>
      </c>
    </row>
    <row r="462" spans="1:10">
      <c r="A462" t="s">
        <v>4597</v>
      </c>
      <c r="B462" s="915" t="s">
        <v>4334</v>
      </c>
      <c r="C462" s="915" t="str">
        <f t="shared" si="7"/>
        <v>5월</v>
      </c>
      <c r="D462" s="916" t="s">
        <v>4395</v>
      </c>
      <c r="E462" s="916" t="s">
        <v>4365</v>
      </c>
      <c r="F462" s="916" t="s">
        <v>4366</v>
      </c>
      <c r="G462" s="915"/>
      <c r="H462" s="917">
        <v>25820</v>
      </c>
      <c r="I462" s="918"/>
      <c r="J462" s="917">
        <v>11808261</v>
      </c>
    </row>
    <row r="463" spans="1:10">
      <c r="A463" t="s">
        <v>3870</v>
      </c>
      <c r="B463" s="915" t="s">
        <v>3624</v>
      </c>
      <c r="C463" s="915" t="str">
        <f t="shared" si="7"/>
        <v>11월</v>
      </c>
      <c r="D463" s="916" t="s">
        <v>3625</v>
      </c>
      <c r="E463" s="916"/>
      <c r="F463" s="916" t="s">
        <v>3627</v>
      </c>
      <c r="G463" s="915"/>
      <c r="H463" s="917">
        <v>25800</v>
      </c>
      <c r="I463" s="918"/>
      <c r="J463" s="917">
        <v>1639710</v>
      </c>
    </row>
    <row r="464" spans="1:10">
      <c r="A464" t="s">
        <v>4597</v>
      </c>
      <c r="B464" s="915" t="s">
        <v>3997</v>
      </c>
      <c r="C464" s="915" t="str">
        <f t="shared" si="7"/>
        <v>12월</v>
      </c>
      <c r="D464" s="916" t="s">
        <v>4395</v>
      </c>
      <c r="E464" s="916" t="s">
        <v>4365</v>
      </c>
      <c r="F464" s="916" t="s">
        <v>4366</v>
      </c>
      <c r="G464" s="915"/>
      <c r="H464" s="917">
        <v>25660</v>
      </c>
      <c r="I464" s="918"/>
      <c r="J464" s="917">
        <v>19637834</v>
      </c>
    </row>
    <row r="465" spans="1:10">
      <c r="A465" t="s">
        <v>4597</v>
      </c>
      <c r="B465" s="915" t="s">
        <v>4097</v>
      </c>
      <c r="C465" s="915" t="str">
        <f t="shared" si="7"/>
        <v>5월</v>
      </c>
      <c r="D465" s="916" t="s">
        <v>4394</v>
      </c>
      <c r="E465" s="916" t="s">
        <v>4369</v>
      </c>
      <c r="F465" s="916" t="s">
        <v>4370</v>
      </c>
      <c r="G465" s="915"/>
      <c r="H465" s="917">
        <v>25606</v>
      </c>
      <c r="I465" s="918"/>
      <c r="J465" s="917">
        <v>12487220</v>
      </c>
    </row>
    <row r="466" spans="1:10">
      <c r="A466" t="s">
        <v>4362</v>
      </c>
      <c r="B466" s="915" t="s">
        <v>3676</v>
      </c>
      <c r="C466" s="915" t="str">
        <f t="shared" si="7"/>
        <v>2월</v>
      </c>
      <c r="D466" s="916" t="s">
        <v>4307</v>
      </c>
      <c r="E466" s="916" t="s">
        <v>4301</v>
      </c>
      <c r="F466" s="916" t="s">
        <v>4302</v>
      </c>
      <c r="G466" s="915" t="s">
        <v>4303</v>
      </c>
      <c r="H466" s="917">
        <v>25360</v>
      </c>
      <c r="I466" s="918"/>
      <c r="J466" s="918"/>
    </row>
    <row r="467" spans="1:10">
      <c r="A467" t="s">
        <v>4064</v>
      </c>
      <c r="B467" s="915" t="s">
        <v>3754</v>
      </c>
      <c r="C467" s="915" t="str">
        <f t="shared" si="7"/>
        <v>6월</v>
      </c>
      <c r="D467" s="916" t="s">
        <v>4042</v>
      </c>
      <c r="E467" s="916"/>
      <c r="F467" s="916" t="s">
        <v>4048</v>
      </c>
      <c r="G467" s="915"/>
      <c r="H467" s="917">
        <v>25000</v>
      </c>
      <c r="I467" s="918"/>
      <c r="J467" s="918"/>
    </row>
    <row r="468" spans="1:10">
      <c r="A468" t="s">
        <v>4362</v>
      </c>
      <c r="B468" s="915" t="s">
        <v>4139</v>
      </c>
      <c r="C468" s="915" t="str">
        <f t="shared" si="7"/>
        <v>5월</v>
      </c>
      <c r="D468" s="916" t="s">
        <v>4306</v>
      </c>
      <c r="E468" s="916" t="s">
        <v>4294</v>
      </c>
      <c r="F468" s="916" t="s">
        <v>4295</v>
      </c>
      <c r="G468" s="915" t="s">
        <v>4296</v>
      </c>
      <c r="H468" s="917">
        <v>25000</v>
      </c>
      <c r="I468" s="918"/>
      <c r="J468" s="918"/>
    </row>
    <row r="469" spans="1:10">
      <c r="A469" t="s">
        <v>4597</v>
      </c>
      <c r="B469" s="915" t="s">
        <v>3772</v>
      </c>
      <c r="C469" s="915" t="str">
        <f t="shared" si="7"/>
        <v>7월</v>
      </c>
      <c r="D469" s="916" t="s">
        <v>4509</v>
      </c>
      <c r="E469" s="916"/>
      <c r="F469" s="916" t="s">
        <v>4510</v>
      </c>
      <c r="G469" s="915"/>
      <c r="H469" s="917">
        <v>25000</v>
      </c>
      <c r="I469" s="918"/>
      <c r="J469" s="917">
        <v>17407260</v>
      </c>
    </row>
    <row r="470" spans="1:10">
      <c r="A470" t="s">
        <v>4650</v>
      </c>
      <c r="B470" s="915" t="s">
        <v>3667</v>
      </c>
      <c r="C470" s="915" t="str">
        <f t="shared" si="7"/>
        <v>2월</v>
      </c>
      <c r="D470" s="916" t="s">
        <v>4636</v>
      </c>
      <c r="E470" s="916" t="s">
        <v>4638</v>
      </c>
      <c r="F470" s="916" t="s">
        <v>4635</v>
      </c>
      <c r="G470" s="915" t="s">
        <v>4639</v>
      </c>
      <c r="H470" s="917">
        <v>24500</v>
      </c>
      <c r="I470" s="918"/>
      <c r="J470" s="918"/>
    </row>
    <row r="471" spans="1:10">
      <c r="A471" t="s">
        <v>4597</v>
      </c>
      <c r="B471" s="915" t="s">
        <v>4519</v>
      </c>
      <c r="C471" s="915" t="str">
        <f t="shared" si="7"/>
        <v>8월</v>
      </c>
      <c r="D471" s="916" t="s">
        <v>4395</v>
      </c>
      <c r="E471" s="916" t="s">
        <v>4365</v>
      </c>
      <c r="F471" s="916" t="s">
        <v>4366</v>
      </c>
      <c r="G471" s="915"/>
      <c r="H471" s="917">
        <v>24480</v>
      </c>
      <c r="I471" s="918"/>
      <c r="J471" s="917">
        <v>17506766</v>
      </c>
    </row>
    <row r="472" spans="1:10">
      <c r="A472" t="s">
        <v>4597</v>
      </c>
      <c r="B472" s="915" t="s">
        <v>4499</v>
      </c>
      <c r="C472" s="915" t="str">
        <f t="shared" si="7"/>
        <v>7월</v>
      </c>
      <c r="D472" s="916" t="s">
        <v>4395</v>
      </c>
      <c r="E472" s="916" t="s">
        <v>4365</v>
      </c>
      <c r="F472" s="916" t="s">
        <v>4366</v>
      </c>
      <c r="G472" s="915"/>
      <c r="H472" s="917">
        <v>24400</v>
      </c>
      <c r="I472" s="918"/>
      <c r="J472" s="918"/>
    </row>
    <row r="473" spans="1:10">
      <c r="A473" t="s">
        <v>4597</v>
      </c>
      <c r="B473" s="915" t="s">
        <v>4465</v>
      </c>
      <c r="C473" s="915" t="str">
        <f t="shared" si="7"/>
        <v>5월</v>
      </c>
      <c r="D473" s="916" t="s">
        <v>4395</v>
      </c>
      <c r="E473" s="916" t="s">
        <v>4365</v>
      </c>
      <c r="F473" s="916" t="s">
        <v>4366</v>
      </c>
      <c r="G473" s="915"/>
      <c r="H473" s="917">
        <v>24340</v>
      </c>
      <c r="I473" s="918"/>
      <c r="J473" s="917">
        <v>11867841</v>
      </c>
    </row>
    <row r="474" spans="1:10">
      <c r="A474" t="s">
        <v>4597</v>
      </c>
      <c r="B474" s="915" t="s">
        <v>3974</v>
      </c>
      <c r="C474" s="915" t="str">
        <f t="shared" si="7"/>
        <v>9월</v>
      </c>
      <c r="D474" s="916" t="s">
        <v>4395</v>
      </c>
      <c r="E474" s="916" t="s">
        <v>4365</v>
      </c>
      <c r="F474" s="916" t="s">
        <v>4366</v>
      </c>
      <c r="G474" s="915"/>
      <c r="H474" s="917">
        <v>24260</v>
      </c>
      <c r="I474" s="918"/>
      <c r="J474" s="917">
        <v>18063289</v>
      </c>
    </row>
    <row r="475" spans="1:10">
      <c r="A475" t="s">
        <v>4010</v>
      </c>
      <c r="B475" s="915" t="s">
        <v>3926</v>
      </c>
      <c r="C475" s="915" t="str">
        <f t="shared" si="7"/>
        <v>1월</v>
      </c>
      <c r="D475" s="916" t="s">
        <v>4771</v>
      </c>
      <c r="E475" s="916" t="s">
        <v>3927</v>
      </c>
      <c r="F475" s="916" t="s">
        <v>3928</v>
      </c>
      <c r="G475" s="915" t="s">
        <v>3929</v>
      </c>
      <c r="H475" s="917">
        <v>24000</v>
      </c>
      <c r="I475" s="918"/>
      <c r="J475" s="917">
        <v>81200</v>
      </c>
    </row>
    <row r="476" spans="1:10">
      <c r="A476" t="s">
        <v>4597</v>
      </c>
      <c r="B476" s="915" t="s">
        <v>3632</v>
      </c>
      <c r="C476" s="915" t="str">
        <f t="shared" si="7"/>
        <v>1월</v>
      </c>
      <c r="D476" s="916" t="s">
        <v>4385</v>
      </c>
      <c r="E476" s="916"/>
      <c r="F476" s="916" t="s">
        <v>4386</v>
      </c>
      <c r="G476" s="915"/>
      <c r="H476" s="917">
        <v>24000</v>
      </c>
      <c r="I476" s="918"/>
      <c r="J476" s="917">
        <v>187835</v>
      </c>
    </row>
    <row r="477" spans="1:10">
      <c r="A477" t="s">
        <v>4010</v>
      </c>
      <c r="B477" s="915" t="s">
        <v>3754</v>
      </c>
      <c r="C477" s="915" t="str">
        <f t="shared" si="7"/>
        <v>6월</v>
      </c>
      <c r="D477" s="916" t="s">
        <v>3963</v>
      </c>
      <c r="E477" s="916"/>
      <c r="F477" s="916" t="s">
        <v>3928</v>
      </c>
      <c r="G477" s="915"/>
      <c r="H477" s="917">
        <v>24000</v>
      </c>
      <c r="I477" s="918"/>
      <c r="J477" s="917">
        <v>1414320</v>
      </c>
    </row>
    <row r="478" spans="1:10">
      <c r="A478" t="s">
        <v>3871</v>
      </c>
      <c r="B478" s="915" t="s">
        <v>3667</v>
      </c>
      <c r="C478" s="915" t="str">
        <f t="shared" si="7"/>
        <v>2월</v>
      </c>
      <c r="D478" s="916" t="s">
        <v>3668</v>
      </c>
      <c r="E478" s="916"/>
      <c r="F478" s="916" t="s">
        <v>3669</v>
      </c>
      <c r="G478" s="915"/>
      <c r="H478" s="917">
        <v>24000</v>
      </c>
      <c r="I478" s="918"/>
      <c r="J478" s="918"/>
    </row>
    <row r="479" spans="1:10">
      <c r="A479" t="s">
        <v>3871</v>
      </c>
      <c r="B479" s="915" t="s">
        <v>3728</v>
      </c>
      <c r="C479" s="915" t="str">
        <f t="shared" si="7"/>
        <v>5월</v>
      </c>
      <c r="D479" s="916" t="s">
        <v>3660</v>
      </c>
      <c r="E479" s="916"/>
      <c r="F479" s="916" t="s">
        <v>3732</v>
      </c>
      <c r="G479" s="915"/>
      <c r="H479" s="917">
        <v>24000</v>
      </c>
      <c r="I479" s="918"/>
      <c r="J479" s="918"/>
    </row>
    <row r="480" spans="1:10">
      <c r="A480" t="s">
        <v>4362</v>
      </c>
      <c r="B480" s="915" t="s">
        <v>4139</v>
      </c>
      <c r="C480" s="915" t="str">
        <f t="shared" si="7"/>
        <v>5월</v>
      </c>
      <c r="D480" s="916" t="s">
        <v>4306</v>
      </c>
      <c r="E480" s="916" t="s">
        <v>4294</v>
      </c>
      <c r="F480" s="916" t="s">
        <v>4295</v>
      </c>
      <c r="G480" s="915" t="s">
        <v>4296</v>
      </c>
      <c r="H480" s="917">
        <v>24000</v>
      </c>
      <c r="I480" s="918"/>
      <c r="J480" s="918"/>
    </row>
    <row r="481" spans="1:10">
      <c r="A481" t="s">
        <v>4362</v>
      </c>
      <c r="B481" s="915" t="s">
        <v>4139</v>
      </c>
      <c r="C481" s="915" t="str">
        <f t="shared" si="7"/>
        <v>5월</v>
      </c>
      <c r="D481" s="916" t="s">
        <v>4306</v>
      </c>
      <c r="E481" s="916" t="s">
        <v>4294</v>
      </c>
      <c r="F481" s="916" t="s">
        <v>4295</v>
      </c>
      <c r="G481" s="915" t="s">
        <v>4296</v>
      </c>
      <c r="H481" s="917">
        <v>24000</v>
      </c>
      <c r="I481" s="918"/>
      <c r="J481" s="918"/>
    </row>
    <row r="482" spans="1:10">
      <c r="A482" t="s">
        <v>4362</v>
      </c>
      <c r="B482" s="915" t="s">
        <v>3819</v>
      </c>
      <c r="C482" s="915" t="str">
        <f t="shared" si="7"/>
        <v>10월</v>
      </c>
      <c r="D482" s="916" t="s">
        <v>4351</v>
      </c>
      <c r="E482" s="916" t="s">
        <v>4294</v>
      </c>
      <c r="F482" s="916" t="s">
        <v>4295</v>
      </c>
      <c r="G482" s="915" t="s">
        <v>4296</v>
      </c>
      <c r="H482" s="917">
        <v>24000</v>
      </c>
      <c r="I482" s="918"/>
      <c r="J482" s="918"/>
    </row>
    <row r="483" spans="1:10">
      <c r="A483" t="s">
        <v>4362</v>
      </c>
      <c r="B483" s="915" t="s">
        <v>3819</v>
      </c>
      <c r="C483" s="915" t="str">
        <f t="shared" si="7"/>
        <v>10월</v>
      </c>
      <c r="D483" s="916" t="s">
        <v>4351</v>
      </c>
      <c r="E483" s="916" t="s">
        <v>4294</v>
      </c>
      <c r="F483" s="916" t="s">
        <v>4295</v>
      </c>
      <c r="G483" s="915" t="s">
        <v>4296</v>
      </c>
      <c r="H483" s="917">
        <v>24000</v>
      </c>
      <c r="I483" s="918"/>
      <c r="J483" s="917">
        <v>520290</v>
      </c>
    </row>
    <row r="484" spans="1:10">
      <c r="A484" t="s">
        <v>4597</v>
      </c>
      <c r="B484" s="915" t="s">
        <v>4553</v>
      </c>
      <c r="C484" s="915" t="str">
        <f t="shared" si="7"/>
        <v>11월</v>
      </c>
      <c r="D484" s="916" t="s">
        <v>4395</v>
      </c>
      <c r="E484" s="916" t="s">
        <v>4365</v>
      </c>
      <c r="F484" s="916" t="s">
        <v>4366</v>
      </c>
      <c r="G484" s="915"/>
      <c r="H484" s="917">
        <v>23800</v>
      </c>
      <c r="I484" s="918"/>
      <c r="J484" s="917">
        <v>19548984</v>
      </c>
    </row>
    <row r="485" spans="1:10">
      <c r="A485" t="s">
        <v>4597</v>
      </c>
      <c r="B485" s="915" t="s">
        <v>4586</v>
      </c>
      <c r="C485" s="915" t="str">
        <f t="shared" si="7"/>
        <v>12월</v>
      </c>
      <c r="D485" s="916" t="s">
        <v>4395</v>
      </c>
      <c r="E485" s="916" t="s">
        <v>4365</v>
      </c>
      <c r="F485" s="916" t="s">
        <v>4366</v>
      </c>
      <c r="G485" s="915"/>
      <c r="H485" s="917">
        <v>23280</v>
      </c>
      <c r="I485" s="918"/>
      <c r="J485" s="918"/>
    </row>
    <row r="486" spans="1:10">
      <c r="A486" t="s">
        <v>4597</v>
      </c>
      <c r="B486" s="915" t="s">
        <v>3717</v>
      </c>
      <c r="C486" s="915" t="str">
        <f t="shared" si="7"/>
        <v>4월</v>
      </c>
      <c r="D486" s="916" t="s">
        <v>4395</v>
      </c>
      <c r="E486" s="916" t="s">
        <v>4365</v>
      </c>
      <c r="F486" s="916" t="s">
        <v>4366</v>
      </c>
      <c r="G486" s="915"/>
      <c r="H486" s="917">
        <v>23260</v>
      </c>
      <c r="I486" s="918"/>
      <c r="J486" s="917">
        <v>2328219</v>
      </c>
    </row>
    <row r="487" spans="1:10">
      <c r="A487" t="s">
        <v>3871</v>
      </c>
      <c r="B487" s="915" t="s">
        <v>3785</v>
      </c>
      <c r="C487" s="915" t="str">
        <f t="shared" si="7"/>
        <v>9월</v>
      </c>
      <c r="D487" s="916" t="s">
        <v>3641</v>
      </c>
      <c r="E487" s="916"/>
      <c r="F487" s="916" t="s">
        <v>3786</v>
      </c>
      <c r="G487" s="915"/>
      <c r="H487" s="917">
        <v>23100</v>
      </c>
      <c r="I487" s="918"/>
      <c r="J487" s="917">
        <v>1169581</v>
      </c>
    </row>
    <row r="488" spans="1:10">
      <c r="A488" t="s">
        <v>3871</v>
      </c>
      <c r="B488" s="915" t="s">
        <v>3727</v>
      </c>
      <c r="C488" s="915" t="str">
        <f t="shared" si="7"/>
        <v>5월</v>
      </c>
      <c r="D488" s="916" t="s">
        <v>3641</v>
      </c>
      <c r="E488" s="916"/>
      <c r="F488" s="916" t="s">
        <v>3716</v>
      </c>
      <c r="G488" s="915"/>
      <c r="H488" s="917">
        <v>23000</v>
      </c>
      <c r="I488" s="918"/>
      <c r="J488" s="917">
        <v>-1210990</v>
      </c>
    </row>
    <row r="489" spans="1:10">
      <c r="A489" t="s">
        <v>3871</v>
      </c>
      <c r="B489" s="915" t="s">
        <v>3856</v>
      </c>
      <c r="C489" s="915" t="str">
        <f t="shared" si="7"/>
        <v>12월</v>
      </c>
      <c r="D489" s="916" t="s">
        <v>3660</v>
      </c>
      <c r="E489" s="916"/>
      <c r="F489" s="916" t="s">
        <v>3858</v>
      </c>
      <c r="G489" s="915"/>
      <c r="H489" s="917">
        <v>23000</v>
      </c>
      <c r="I489" s="918"/>
      <c r="J489" s="918"/>
    </row>
    <row r="490" spans="1:10">
      <c r="A490" t="s">
        <v>3871</v>
      </c>
      <c r="B490" s="915" t="s">
        <v>3865</v>
      </c>
      <c r="C490" s="915" t="str">
        <f t="shared" si="7"/>
        <v>12월</v>
      </c>
      <c r="D490" s="916" t="s">
        <v>3660</v>
      </c>
      <c r="E490" s="916"/>
      <c r="F490" s="916" t="s">
        <v>3867</v>
      </c>
      <c r="G490" s="915"/>
      <c r="H490" s="917">
        <v>23000</v>
      </c>
      <c r="I490" s="918"/>
      <c r="J490" s="917">
        <v>983311</v>
      </c>
    </row>
    <row r="491" spans="1:10">
      <c r="A491" t="s">
        <v>4597</v>
      </c>
      <c r="B491" s="915" t="s">
        <v>4407</v>
      </c>
      <c r="C491" s="915" t="str">
        <f t="shared" si="7"/>
        <v>2월</v>
      </c>
      <c r="D491" s="916" t="s">
        <v>4395</v>
      </c>
      <c r="E491" s="916" t="s">
        <v>4365</v>
      </c>
      <c r="F491" s="916" t="s">
        <v>4366</v>
      </c>
      <c r="G491" s="915"/>
      <c r="H491" s="917">
        <v>22600</v>
      </c>
      <c r="I491" s="918"/>
      <c r="J491" s="917">
        <v>650116</v>
      </c>
    </row>
    <row r="492" spans="1:10">
      <c r="A492" t="s">
        <v>4064</v>
      </c>
      <c r="B492" s="915" t="s">
        <v>3754</v>
      </c>
      <c r="C492" s="915" t="str">
        <f t="shared" si="7"/>
        <v>6월</v>
      </c>
      <c r="D492" s="916" t="s">
        <v>4042</v>
      </c>
      <c r="E492" s="916"/>
      <c r="F492" s="916" t="s">
        <v>4043</v>
      </c>
      <c r="G492" s="915"/>
      <c r="H492" s="917">
        <v>22500</v>
      </c>
      <c r="I492" s="918"/>
      <c r="J492" s="918"/>
    </row>
    <row r="493" spans="1:10">
      <c r="A493" t="s">
        <v>4597</v>
      </c>
      <c r="B493" s="915" t="s">
        <v>4321</v>
      </c>
      <c r="C493" s="915" t="str">
        <f t="shared" si="7"/>
        <v>3월</v>
      </c>
      <c r="D493" s="916" t="s">
        <v>4395</v>
      </c>
      <c r="E493" s="916" t="s">
        <v>4365</v>
      </c>
      <c r="F493" s="916" t="s">
        <v>4366</v>
      </c>
      <c r="G493" s="915"/>
      <c r="H493" s="917">
        <v>22460</v>
      </c>
      <c r="I493" s="918"/>
      <c r="J493" s="917">
        <v>1306295</v>
      </c>
    </row>
    <row r="494" spans="1:10">
      <c r="A494" t="s">
        <v>4597</v>
      </c>
      <c r="B494" s="915" t="s">
        <v>4544</v>
      </c>
      <c r="C494" s="915" t="str">
        <f t="shared" si="7"/>
        <v>10월</v>
      </c>
      <c r="D494" s="916" t="s">
        <v>4395</v>
      </c>
      <c r="E494" s="916" t="s">
        <v>4365</v>
      </c>
      <c r="F494" s="916" t="s">
        <v>4366</v>
      </c>
      <c r="G494" s="915"/>
      <c r="H494" s="917">
        <v>22440</v>
      </c>
      <c r="I494" s="918"/>
      <c r="J494" s="917">
        <v>19026054</v>
      </c>
    </row>
    <row r="495" spans="1:10">
      <c r="A495" t="s">
        <v>4597</v>
      </c>
      <c r="B495" s="915" t="s">
        <v>4376</v>
      </c>
      <c r="C495" s="915" t="str">
        <f t="shared" si="7"/>
        <v>1월</v>
      </c>
      <c r="D495" s="916" t="s">
        <v>4377</v>
      </c>
      <c r="E495" s="916" t="s">
        <v>4365</v>
      </c>
      <c r="F495" s="916" t="s">
        <v>4366</v>
      </c>
      <c r="G495" s="915"/>
      <c r="H495" s="917">
        <v>22360</v>
      </c>
      <c r="I495" s="918"/>
      <c r="J495" s="917">
        <v>74315</v>
      </c>
    </row>
    <row r="496" spans="1:10">
      <c r="A496" t="s">
        <v>3871</v>
      </c>
      <c r="B496" s="915" t="s">
        <v>3667</v>
      </c>
      <c r="C496" s="915" t="str">
        <f t="shared" si="7"/>
        <v>2월</v>
      </c>
      <c r="D496" s="916" t="s">
        <v>3674</v>
      </c>
      <c r="E496" s="916"/>
      <c r="F496" s="916" t="s">
        <v>3675</v>
      </c>
      <c r="G496" s="915"/>
      <c r="H496" s="917">
        <v>22000</v>
      </c>
      <c r="I496" s="918"/>
      <c r="J496" s="917">
        <v>832010</v>
      </c>
    </row>
    <row r="497" spans="1:10">
      <c r="A497" t="s">
        <v>3871</v>
      </c>
      <c r="B497" s="915" t="s">
        <v>3819</v>
      </c>
      <c r="C497" s="915" t="str">
        <f t="shared" si="7"/>
        <v>10월</v>
      </c>
      <c r="D497" s="916" t="s">
        <v>3660</v>
      </c>
      <c r="E497" s="916"/>
      <c r="F497" s="916" t="s">
        <v>3822</v>
      </c>
      <c r="G497" s="915"/>
      <c r="H497" s="917">
        <v>22000</v>
      </c>
      <c r="I497" s="918"/>
      <c r="J497" s="918"/>
    </row>
    <row r="498" spans="1:10">
      <c r="A498" t="s">
        <v>3871</v>
      </c>
      <c r="B498" s="915" t="s">
        <v>3829</v>
      </c>
      <c r="C498" s="915" t="str">
        <f t="shared" si="7"/>
        <v>11월</v>
      </c>
      <c r="D498" s="916" t="s">
        <v>3660</v>
      </c>
      <c r="E498" s="916"/>
      <c r="F498" s="916" t="s">
        <v>3830</v>
      </c>
      <c r="G498" s="915"/>
      <c r="H498" s="917">
        <v>22000</v>
      </c>
      <c r="I498" s="918"/>
      <c r="J498" s="918"/>
    </row>
    <row r="499" spans="1:10">
      <c r="A499" t="s">
        <v>4597</v>
      </c>
      <c r="B499" s="915" t="s">
        <v>4492</v>
      </c>
      <c r="C499" s="915" t="str">
        <f t="shared" si="7"/>
        <v>6월</v>
      </c>
      <c r="D499" s="916" t="s">
        <v>4394</v>
      </c>
      <c r="E499" s="916" t="s">
        <v>4369</v>
      </c>
      <c r="F499" s="916" t="s">
        <v>4370</v>
      </c>
      <c r="G499" s="915"/>
      <c r="H499" s="917">
        <v>21967</v>
      </c>
      <c r="I499" s="918"/>
      <c r="J499" s="917">
        <v>16405247</v>
      </c>
    </row>
    <row r="500" spans="1:10">
      <c r="A500" t="s">
        <v>4010</v>
      </c>
      <c r="B500" s="915" t="s">
        <v>3965</v>
      </c>
      <c r="C500" s="915" t="str">
        <f t="shared" si="7"/>
        <v>7월</v>
      </c>
      <c r="D500" s="916" t="s">
        <v>3966</v>
      </c>
      <c r="E500" s="916"/>
      <c r="F500" s="916" t="s">
        <v>3610</v>
      </c>
      <c r="G500" s="915"/>
      <c r="H500" s="917">
        <v>21400</v>
      </c>
      <c r="I500" s="918"/>
      <c r="J500" s="918"/>
    </row>
    <row r="501" spans="1:10">
      <c r="A501" t="s">
        <v>4064</v>
      </c>
      <c r="B501" s="915" t="s">
        <v>3608</v>
      </c>
      <c r="C501" s="915" t="str">
        <f t="shared" si="7"/>
        <v>6월</v>
      </c>
      <c r="D501" s="916" t="s">
        <v>4038</v>
      </c>
      <c r="E501" s="916"/>
      <c r="F501" s="916" t="s">
        <v>4039</v>
      </c>
      <c r="G501" s="915"/>
      <c r="H501" s="917">
        <v>21000</v>
      </c>
      <c r="I501" s="918"/>
      <c r="J501" s="918"/>
    </row>
    <row r="502" spans="1:10">
      <c r="A502" t="s">
        <v>4110</v>
      </c>
      <c r="B502" s="915" t="s">
        <v>3601</v>
      </c>
      <c r="C502" s="915" t="str">
        <f t="shared" si="7"/>
        <v>2월</v>
      </c>
      <c r="D502" s="916" t="s">
        <v>3808</v>
      </c>
      <c r="E502" s="916"/>
      <c r="F502" s="916" t="s">
        <v>4066</v>
      </c>
      <c r="G502" s="915"/>
      <c r="H502" s="917">
        <v>20600</v>
      </c>
      <c r="I502" s="918"/>
      <c r="J502" s="917">
        <v>55400</v>
      </c>
    </row>
    <row r="503" spans="1:10" ht="22.5">
      <c r="A503" t="s">
        <v>4765</v>
      </c>
      <c r="B503" s="915" t="s">
        <v>3841</v>
      </c>
      <c r="C503" s="915" t="str">
        <f t="shared" si="7"/>
        <v>11월</v>
      </c>
      <c r="D503" s="916" t="s">
        <v>4674</v>
      </c>
      <c r="E503" s="916"/>
      <c r="F503" s="916" t="s">
        <v>4675</v>
      </c>
      <c r="G503" s="915"/>
      <c r="H503" s="917">
        <v>20600</v>
      </c>
      <c r="I503" s="918"/>
      <c r="J503" s="918"/>
    </row>
    <row r="504" spans="1:10">
      <c r="A504" t="s">
        <v>4650</v>
      </c>
      <c r="B504" s="915" t="s">
        <v>3635</v>
      </c>
      <c r="C504" s="915" t="str">
        <f t="shared" si="7"/>
        <v>1월</v>
      </c>
      <c r="D504" s="916" t="s">
        <v>4631</v>
      </c>
      <c r="E504" s="916"/>
      <c r="F504" s="916" t="s">
        <v>4635</v>
      </c>
      <c r="G504" s="915"/>
      <c r="H504" s="917">
        <v>20500</v>
      </c>
      <c r="I504" s="918"/>
      <c r="J504" s="917">
        <v>306700</v>
      </c>
    </row>
    <row r="505" spans="1:10" ht="22.5">
      <c r="A505" t="s">
        <v>4765</v>
      </c>
      <c r="B505" s="915" t="s">
        <v>3841</v>
      </c>
      <c r="C505" s="915" t="str">
        <f t="shared" si="7"/>
        <v>11월</v>
      </c>
      <c r="D505" s="916" t="s">
        <v>4674</v>
      </c>
      <c r="E505" s="916"/>
      <c r="F505" s="916" t="s">
        <v>4675</v>
      </c>
      <c r="G505" s="915"/>
      <c r="H505" s="917">
        <v>20200</v>
      </c>
      <c r="I505" s="918"/>
      <c r="J505" s="918"/>
    </row>
    <row r="506" spans="1:10">
      <c r="A506" t="s">
        <v>4597</v>
      </c>
      <c r="B506" s="915" t="s">
        <v>4167</v>
      </c>
      <c r="C506" s="915" t="str">
        <f t="shared" si="7"/>
        <v>2월</v>
      </c>
      <c r="D506" s="916" t="s">
        <v>4408</v>
      </c>
      <c r="E506" s="916"/>
      <c r="F506" s="916" t="s">
        <v>4410</v>
      </c>
      <c r="G506" s="915"/>
      <c r="H506" s="917">
        <v>20000</v>
      </c>
      <c r="I506" s="918"/>
      <c r="J506" s="918"/>
    </row>
    <row r="507" spans="1:10">
      <c r="A507" t="s">
        <v>4597</v>
      </c>
      <c r="B507" s="915" t="s">
        <v>3680</v>
      </c>
      <c r="C507" s="915" t="str">
        <f t="shared" si="7"/>
        <v>2월</v>
      </c>
      <c r="D507" s="916" t="s">
        <v>4408</v>
      </c>
      <c r="E507" s="916"/>
      <c r="F507" s="916" t="s">
        <v>4411</v>
      </c>
      <c r="G507" s="915"/>
      <c r="H507" s="917">
        <v>20000</v>
      </c>
      <c r="I507" s="918"/>
      <c r="J507" s="917">
        <v>1248816</v>
      </c>
    </row>
    <row r="508" spans="1:10">
      <c r="A508" t="s">
        <v>4597</v>
      </c>
      <c r="B508" s="915" t="s">
        <v>3604</v>
      </c>
      <c r="C508" s="915" t="str">
        <f t="shared" si="7"/>
        <v>2월</v>
      </c>
      <c r="D508" s="916" t="s">
        <v>4408</v>
      </c>
      <c r="E508" s="916"/>
      <c r="F508" s="916" t="s">
        <v>4415</v>
      </c>
      <c r="G508" s="915"/>
      <c r="H508" s="917">
        <v>20000</v>
      </c>
      <c r="I508" s="918"/>
      <c r="J508" s="918"/>
    </row>
    <row r="509" spans="1:10">
      <c r="A509" t="s">
        <v>3871</v>
      </c>
      <c r="B509" s="915" t="s">
        <v>3687</v>
      </c>
      <c r="C509" s="915" t="str">
        <f t="shared" si="7"/>
        <v>2월</v>
      </c>
      <c r="D509" s="916" t="s">
        <v>3660</v>
      </c>
      <c r="E509" s="916"/>
      <c r="F509" s="916" t="s">
        <v>3690</v>
      </c>
      <c r="G509" s="915"/>
      <c r="H509" s="917">
        <v>20000</v>
      </c>
      <c r="I509" s="918"/>
      <c r="J509" s="918"/>
    </row>
    <row r="510" spans="1:10">
      <c r="A510" t="s">
        <v>3870</v>
      </c>
      <c r="B510" s="915" t="s">
        <v>3613</v>
      </c>
      <c r="C510" s="915" t="str">
        <f t="shared" si="7"/>
        <v>6월</v>
      </c>
      <c r="D510" s="916" t="s">
        <v>3614</v>
      </c>
      <c r="E510" s="916"/>
      <c r="F510" s="916" t="s">
        <v>3600</v>
      </c>
      <c r="G510" s="915"/>
      <c r="H510" s="917">
        <v>20000</v>
      </c>
      <c r="I510" s="918"/>
      <c r="J510" s="918"/>
    </row>
    <row r="511" spans="1:10">
      <c r="A511" t="s">
        <v>4064</v>
      </c>
      <c r="B511" s="915" t="s">
        <v>3991</v>
      </c>
      <c r="C511" s="915" t="str">
        <f t="shared" si="7"/>
        <v>11월</v>
      </c>
      <c r="D511" s="916" t="s">
        <v>4030</v>
      </c>
      <c r="E511" s="916"/>
      <c r="F511" s="916" t="s">
        <v>4062</v>
      </c>
      <c r="G511" s="915"/>
      <c r="H511" s="917">
        <v>20000</v>
      </c>
      <c r="I511" s="918"/>
      <c r="J511" s="917">
        <v>1986705</v>
      </c>
    </row>
    <row r="512" spans="1:10">
      <c r="A512" t="s">
        <v>4362</v>
      </c>
      <c r="B512" s="915" t="s">
        <v>3635</v>
      </c>
      <c r="C512" s="915" t="str">
        <f t="shared" si="7"/>
        <v>1월</v>
      </c>
      <c r="D512" s="916" t="s">
        <v>4293</v>
      </c>
      <c r="E512" s="916" t="s">
        <v>4294</v>
      </c>
      <c r="F512" s="916" t="s">
        <v>4295</v>
      </c>
      <c r="G512" s="915" t="s">
        <v>4296</v>
      </c>
      <c r="H512" s="917">
        <v>20000</v>
      </c>
      <c r="I512" s="918"/>
      <c r="J512" s="918"/>
    </row>
    <row r="513" spans="1:10">
      <c r="A513" t="s">
        <v>4655</v>
      </c>
      <c r="B513" s="915" t="s">
        <v>3676</v>
      </c>
      <c r="C513" s="915" t="str">
        <f t="shared" si="7"/>
        <v>2월</v>
      </c>
      <c r="D513" s="916" t="s">
        <v>4653</v>
      </c>
      <c r="E513" s="916"/>
      <c r="F513" s="916" t="s">
        <v>4654</v>
      </c>
      <c r="G513" s="915"/>
      <c r="H513" s="917">
        <v>20000</v>
      </c>
      <c r="I513" s="918"/>
      <c r="J513" s="917">
        <v>50000</v>
      </c>
    </row>
    <row r="514" spans="1:10">
      <c r="A514" t="s">
        <v>4765</v>
      </c>
      <c r="B514" s="915" t="s">
        <v>4334</v>
      </c>
      <c r="C514" s="915" t="str">
        <f t="shared" ref="C514:C577" si="8">MONTH(B514)&amp;"월"</f>
        <v>5월</v>
      </c>
      <c r="D514" s="916" t="s">
        <v>4696</v>
      </c>
      <c r="E514" s="916"/>
      <c r="F514" s="916" t="s">
        <v>4697</v>
      </c>
      <c r="G514" s="915"/>
      <c r="H514" s="917">
        <v>20000</v>
      </c>
      <c r="I514" s="918"/>
      <c r="J514" s="918"/>
    </row>
    <row r="515" spans="1:10">
      <c r="A515" t="s">
        <v>4010</v>
      </c>
      <c r="B515" s="915" t="s">
        <v>3965</v>
      </c>
      <c r="C515" s="915" t="str">
        <f t="shared" si="8"/>
        <v>7월</v>
      </c>
      <c r="D515" s="916" t="s">
        <v>3966</v>
      </c>
      <c r="E515" s="916"/>
      <c r="F515" s="916" t="s">
        <v>3610</v>
      </c>
      <c r="G515" s="915"/>
      <c r="H515" s="917">
        <v>19900</v>
      </c>
      <c r="I515" s="918"/>
      <c r="J515" s="917">
        <v>1758920</v>
      </c>
    </row>
    <row r="516" spans="1:10">
      <c r="A516" t="s">
        <v>4767</v>
      </c>
      <c r="B516" s="915" t="s">
        <v>3932</v>
      </c>
      <c r="C516" s="915" t="str">
        <f t="shared" si="8"/>
        <v>1월</v>
      </c>
      <c r="D516" s="916" t="s">
        <v>4766</v>
      </c>
      <c r="E516" s="916" t="s">
        <v>4179</v>
      </c>
      <c r="F516" s="916" t="s">
        <v>4112</v>
      </c>
      <c r="G516" s="915"/>
      <c r="H516" s="917">
        <v>19630</v>
      </c>
      <c r="I516" s="918"/>
      <c r="J516" s="917">
        <v>19630</v>
      </c>
    </row>
    <row r="517" spans="1:10" ht="22.5">
      <c r="A517" t="s">
        <v>4765</v>
      </c>
      <c r="B517" s="915" t="s">
        <v>4186</v>
      </c>
      <c r="C517" s="915" t="str">
        <f t="shared" si="8"/>
        <v>5월</v>
      </c>
      <c r="D517" s="916" t="s">
        <v>4674</v>
      </c>
      <c r="E517" s="916"/>
      <c r="F517" s="916" t="s">
        <v>4675</v>
      </c>
      <c r="G517" s="915"/>
      <c r="H517" s="917">
        <v>19500</v>
      </c>
      <c r="I517" s="918"/>
      <c r="J517" s="918"/>
    </row>
    <row r="518" spans="1:10" ht="22.5">
      <c r="A518" t="s">
        <v>4765</v>
      </c>
      <c r="B518" s="915" t="s">
        <v>4186</v>
      </c>
      <c r="C518" s="915" t="str">
        <f t="shared" si="8"/>
        <v>5월</v>
      </c>
      <c r="D518" s="916" t="s">
        <v>4674</v>
      </c>
      <c r="E518" s="916"/>
      <c r="F518" s="916" t="s">
        <v>4675</v>
      </c>
      <c r="G518" s="915"/>
      <c r="H518" s="917">
        <v>19500</v>
      </c>
      <c r="I518" s="918"/>
      <c r="J518" s="917">
        <v>5726200</v>
      </c>
    </row>
    <row r="519" spans="1:10" ht="22.5">
      <c r="A519" t="s">
        <v>4765</v>
      </c>
      <c r="B519" s="915" t="s">
        <v>3757</v>
      </c>
      <c r="C519" s="915" t="str">
        <f t="shared" si="8"/>
        <v>7월</v>
      </c>
      <c r="D519" s="916" t="s">
        <v>4674</v>
      </c>
      <c r="E519" s="916"/>
      <c r="F519" s="916" t="s">
        <v>4675</v>
      </c>
      <c r="G519" s="915"/>
      <c r="H519" s="917">
        <v>19500</v>
      </c>
      <c r="I519" s="918"/>
      <c r="J519" s="918"/>
    </row>
    <row r="520" spans="1:10" ht="22.5">
      <c r="A520" t="s">
        <v>4765</v>
      </c>
      <c r="B520" s="915" t="s">
        <v>3757</v>
      </c>
      <c r="C520" s="915" t="str">
        <f t="shared" si="8"/>
        <v>7월</v>
      </c>
      <c r="D520" s="916" t="s">
        <v>4674</v>
      </c>
      <c r="E520" s="916"/>
      <c r="F520" s="916" t="s">
        <v>4675</v>
      </c>
      <c r="G520" s="915"/>
      <c r="H520" s="917">
        <v>19500</v>
      </c>
      <c r="I520" s="918"/>
      <c r="J520" s="917">
        <v>12001780</v>
      </c>
    </row>
    <row r="521" spans="1:10" ht="22.5">
      <c r="A521" t="s">
        <v>4765</v>
      </c>
      <c r="B521" s="915" t="s">
        <v>3972</v>
      </c>
      <c r="C521" s="915" t="str">
        <f t="shared" si="8"/>
        <v>9월</v>
      </c>
      <c r="D521" s="916" t="s">
        <v>4674</v>
      </c>
      <c r="E521" s="916"/>
      <c r="F521" s="916" t="s">
        <v>4675</v>
      </c>
      <c r="G521" s="915"/>
      <c r="H521" s="917">
        <v>19500</v>
      </c>
      <c r="I521" s="918"/>
      <c r="J521" s="918"/>
    </row>
    <row r="522" spans="1:10" ht="22.5">
      <c r="A522" t="s">
        <v>4765</v>
      </c>
      <c r="B522" s="915" t="s">
        <v>3972</v>
      </c>
      <c r="C522" s="915" t="str">
        <f t="shared" si="8"/>
        <v>9월</v>
      </c>
      <c r="D522" s="916" t="s">
        <v>4674</v>
      </c>
      <c r="E522" s="916"/>
      <c r="F522" s="916" t="s">
        <v>4675</v>
      </c>
      <c r="G522" s="915"/>
      <c r="H522" s="917">
        <v>19500</v>
      </c>
      <c r="I522" s="918"/>
      <c r="J522" s="917">
        <v>17330580</v>
      </c>
    </row>
    <row r="523" spans="1:10" ht="22.5">
      <c r="A523" t="s">
        <v>4765</v>
      </c>
      <c r="B523" s="915" t="s">
        <v>3819</v>
      </c>
      <c r="C523" s="915" t="str">
        <f t="shared" si="8"/>
        <v>10월</v>
      </c>
      <c r="D523" s="916" t="s">
        <v>4674</v>
      </c>
      <c r="E523" s="916"/>
      <c r="F523" s="916" t="s">
        <v>4675</v>
      </c>
      <c r="G523" s="915"/>
      <c r="H523" s="917">
        <v>19500</v>
      </c>
      <c r="I523" s="918"/>
      <c r="J523" s="918"/>
    </row>
    <row r="524" spans="1:10" ht="22.5">
      <c r="A524" t="s">
        <v>4765</v>
      </c>
      <c r="B524" s="915" t="s">
        <v>3819</v>
      </c>
      <c r="C524" s="915" t="str">
        <f t="shared" si="8"/>
        <v>10월</v>
      </c>
      <c r="D524" s="916" t="s">
        <v>4674</v>
      </c>
      <c r="E524" s="916"/>
      <c r="F524" s="916" t="s">
        <v>4675</v>
      </c>
      <c r="G524" s="915"/>
      <c r="H524" s="917">
        <v>19500</v>
      </c>
      <c r="I524" s="918"/>
      <c r="J524" s="917">
        <v>19215580</v>
      </c>
    </row>
    <row r="525" spans="1:10">
      <c r="A525" t="s">
        <v>3871</v>
      </c>
      <c r="B525" s="915" t="s">
        <v>3696</v>
      </c>
      <c r="C525" s="915" t="str">
        <f t="shared" si="8"/>
        <v>3월</v>
      </c>
      <c r="D525" s="916" t="s">
        <v>3660</v>
      </c>
      <c r="E525" s="916"/>
      <c r="F525" s="916" t="s">
        <v>3679</v>
      </c>
      <c r="G525" s="915"/>
      <c r="H525" s="917">
        <v>19000</v>
      </c>
      <c r="I525" s="918"/>
      <c r="J525" s="918"/>
    </row>
    <row r="526" spans="1:10">
      <c r="A526" t="s">
        <v>4362</v>
      </c>
      <c r="B526" s="915" t="s">
        <v>3819</v>
      </c>
      <c r="C526" s="915" t="str">
        <f t="shared" si="8"/>
        <v>10월</v>
      </c>
      <c r="D526" s="916" t="s">
        <v>4351</v>
      </c>
      <c r="E526" s="916" t="s">
        <v>4294</v>
      </c>
      <c r="F526" s="916" t="s">
        <v>4295</v>
      </c>
      <c r="G526" s="915" t="s">
        <v>4296</v>
      </c>
      <c r="H526" s="917">
        <v>19000</v>
      </c>
      <c r="I526" s="918"/>
      <c r="J526" s="918"/>
    </row>
    <row r="527" spans="1:10">
      <c r="A527" t="s">
        <v>4362</v>
      </c>
      <c r="B527" s="915" t="s">
        <v>3819</v>
      </c>
      <c r="C527" s="915" t="str">
        <f t="shared" si="8"/>
        <v>10월</v>
      </c>
      <c r="D527" s="916" t="s">
        <v>4351</v>
      </c>
      <c r="E527" s="916" t="s">
        <v>4294</v>
      </c>
      <c r="F527" s="916" t="s">
        <v>4295</v>
      </c>
      <c r="G527" s="915" t="s">
        <v>4296</v>
      </c>
      <c r="H527" s="917">
        <v>19000</v>
      </c>
      <c r="I527" s="918"/>
      <c r="J527" s="918"/>
    </row>
    <row r="528" spans="1:10">
      <c r="A528" t="s">
        <v>4110</v>
      </c>
      <c r="B528" s="915" t="s">
        <v>3739</v>
      </c>
      <c r="C528" s="915" t="str">
        <f t="shared" si="8"/>
        <v>5월</v>
      </c>
      <c r="D528" s="916" t="s">
        <v>3740</v>
      </c>
      <c r="E528" s="916"/>
      <c r="F528" s="916" t="s">
        <v>4102</v>
      </c>
      <c r="G528" s="915"/>
      <c r="H528" s="917">
        <v>18500</v>
      </c>
      <c r="I528" s="918"/>
      <c r="J528" s="918"/>
    </row>
    <row r="529" spans="1:10">
      <c r="A529" t="s">
        <v>4110</v>
      </c>
      <c r="B529" s="915" t="s">
        <v>3696</v>
      </c>
      <c r="C529" s="915" t="str">
        <f t="shared" si="8"/>
        <v>3월</v>
      </c>
      <c r="D529" s="916" t="s">
        <v>3808</v>
      </c>
      <c r="E529" s="916"/>
      <c r="F529" s="916" t="s">
        <v>4078</v>
      </c>
      <c r="G529" s="915"/>
      <c r="H529" s="917">
        <v>18300</v>
      </c>
      <c r="I529" s="918"/>
      <c r="J529" s="918"/>
    </row>
    <row r="530" spans="1:10">
      <c r="A530" t="s">
        <v>3871</v>
      </c>
      <c r="B530" s="915" t="s">
        <v>3767</v>
      </c>
      <c r="C530" s="915" t="str">
        <f t="shared" si="8"/>
        <v>7월</v>
      </c>
      <c r="D530" s="916" t="s">
        <v>3769</v>
      </c>
      <c r="E530" s="916"/>
      <c r="F530" s="916" t="s">
        <v>3770</v>
      </c>
      <c r="G530" s="915"/>
      <c r="H530" s="917">
        <v>18200</v>
      </c>
      <c r="I530" s="918"/>
      <c r="J530" s="918"/>
    </row>
    <row r="531" spans="1:10">
      <c r="A531" t="s">
        <v>3871</v>
      </c>
      <c r="B531" s="915" t="s">
        <v>3795</v>
      </c>
      <c r="C531" s="915" t="str">
        <f t="shared" si="8"/>
        <v>9월</v>
      </c>
      <c r="D531" s="916" t="s">
        <v>3796</v>
      </c>
      <c r="E531" s="916"/>
      <c r="F531" s="916" t="s">
        <v>3610</v>
      </c>
      <c r="G531" s="915"/>
      <c r="H531" s="917">
        <v>18200</v>
      </c>
      <c r="I531" s="918"/>
      <c r="J531" s="918"/>
    </row>
    <row r="532" spans="1:10">
      <c r="A532" t="s">
        <v>3871</v>
      </c>
      <c r="B532" s="915" t="s">
        <v>3767</v>
      </c>
      <c r="C532" s="915" t="str">
        <f t="shared" si="8"/>
        <v>7월</v>
      </c>
      <c r="D532" s="916" t="s">
        <v>3769</v>
      </c>
      <c r="E532" s="916"/>
      <c r="F532" s="916" t="s">
        <v>3610</v>
      </c>
      <c r="G532" s="915"/>
      <c r="H532" s="917">
        <v>18100</v>
      </c>
      <c r="I532" s="918"/>
      <c r="J532" s="918"/>
    </row>
    <row r="533" spans="1:10">
      <c r="A533" t="s">
        <v>4128</v>
      </c>
      <c r="B533" s="915" t="s">
        <v>3632</v>
      </c>
      <c r="C533" s="915" t="str">
        <f t="shared" si="8"/>
        <v>1월</v>
      </c>
      <c r="D533" s="916" t="s">
        <v>4111</v>
      </c>
      <c r="E533" s="916"/>
      <c r="F533" s="916" t="s">
        <v>4112</v>
      </c>
      <c r="G533" s="915"/>
      <c r="H533" s="917">
        <v>18000</v>
      </c>
      <c r="I533" s="918"/>
      <c r="J533" s="917">
        <v>18000</v>
      </c>
    </row>
    <row r="534" spans="1:10">
      <c r="A534" t="s">
        <v>3871</v>
      </c>
      <c r="B534" s="915" t="s">
        <v>3601</v>
      </c>
      <c r="C534" s="915" t="str">
        <f t="shared" si="8"/>
        <v>2월</v>
      </c>
      <c r="D534" s="916" t="s">
        <v>3660</v>
      </c>
      <c r="E534" s="916" t="s">
        <v>3653</v>
      </c>
      <c r="F534" s="916" t="s">
        <v>3654</v>
      </c>
      <c r="G534" s="915" t="s">
        <v>3655</v>
      </c>
      <c r="H534" s="917">
        <v>18000</v>
      </c>
      <c r="I534" s="918"/>
      <c r="J534" s="918"/>
    </row>
    <row r="535" spans="1:10">
      <c r="A535" t="s">
        <v>4362</v>
      </c>
      <c r="B535" s="915" t="s">
        <v>4215</v>
      </c>
      <c r="C535" s="915" t="str">
        <f t="shared" si="8"/>
        <v>12월</v>
      </c>
      <c r="D535" s="916" t="s">
        <v>4358</v>
      </c>
      <c r="E535" s="916"/>
      <c r="F535" s="916" t="s">
        <v>4359</v>
      </c>
      <c r="G535" s="915"/>
      <c r="H535" s="917">
        <v>18000</v>
      </c>
      <c r="I535" s="918"/>
      <c r="J535" s="917">
        <v>587410</v>
      </c>
    </row>
    <row r="536" spans="1:10">
      <c r="A536" t="s">
        <v>4010</v>
      </c>
      <c r="B536" s="915" t="s">
        <v>3865</v>
      </c>
      <c r="C536" s="915" t="str">
        <f t="shared" si="8"/>
        <v>12월</v>
      </c>
      <c r="D536" s="916" t="s">
        <v>3963</v>
      </c>
      <c r="E536" s="916"/>
      <c r="F536" s="916" t="s">
        <v>3928</v>
      </c>
      <c r="G536" s="915"/>
      <c r="H536" s="917">
        <v>18000</v>
      </c>
      <c r="I536" s="918"/>
      <c r="J536" s="917">
        <v>4072181</v>
      </c>
    </row>
    <row r="537" spans="1:10">
      <c r="A537" t="s">
        <v>4010</v>
      </c>
      <c r="B537" s="915" t="s">
        <v>3616</v>
      </c>
      <c r="C537" s="915" t="str">
        <f t="shared" si="8"/>
        <v>9월</v>
      </c>
      <c r="D537" s="916" t="s">
        <v>3978</v>
      </c>
      <c r="E537" s="916"/>
      <c r="F537" s="916" t="s">
        <v>3600</v>
      </c>
      <c r="G537" s="915"/>
      <c r="H537" s="917">
        <v>17800</v>
      </c>
      <c r="I537" s="918"/>
      <c r="J537" s="918"/>
    </row>
    <row r="538" spans="1:10">
      <c r="A538" t="s">
        <v>3871</v>
      </c>
      <c r="B538" s="915" t="s">
        <v>3829</v>
      </c>
      <c r="C538" s="915" t="str">
        <f t="shared" si="8"/>
        <v>11월</v>
      </c>
      <c r="D538" s="916" t="s">
        <v>3660</v>
      </c>
      <c r="E538" s="916"/>
      <c r="F538" s="916" t="s">
        <v>3733</v>
      </c>
      <c r="G538" s="915"/>
      <c r="H538" s="917">
        <v>17200</v>
      </c>
      <c r="I538" s="918"/>
      <c r="J538" s="918"/>
    </row>
    <row r="539" spans="1:10">
      <c r="A539" t="s">
        <v>3871</v>
      </c>
      <c r="B539" s="915" t="s">
        <v>3807</v>
      </c>
      <c r="C539" s="915" t="str">
        <f t="shared" si="8"/>
        <v>10월</v>
      </c>
      <c r="D539" s="916" t="s">
        <v>3808</v>
      </c>
      <c r="E539" s="916"/>
      <c r="F539" s="916" t="s">
        <v>3809</v>
      </c>
      <c r="G539" s="915"/>
      <c r="H539" s="917">
        <v>17100</v>
      </c>
      <c r="I539" s="918"/>
      <c r="J539" s="918"/>
    </row>
    <row r="540" spans="1:10">
      <c r="A540" t="s">
        <v>4220</v>
      </c>
      <c r="B540" s="915" t="s">
        <v>3835</v>
      </c>
      <c r="C540" s="915" t="str">
        <f t="shared" si="8"/>
        <v>11월</v>
      </c>
      <c r="D540" s="916" t="s">
        <v>4211</v>
      </c>
      <c r="E540" s="916" t="s">
        <v>4150</v>
      </c>
      <c r="F540" s="916" t="s">
        <v>4151</v>
      </c>
      <c r="G540" s="915" t="s">
        <v>4152</v>
      </c>
      <c r="H540" s="917">
        <v>16820</v>
      </c>
      <c r="I540" s="918"/>
      <c r="J540" s="918"/>
    </row>
    <row r="541" spans="1:10">
      <c r="A541" t="s">
        <v>4597</v>
      </c>
      <c r="B541" s="915" t="s">
        <v>4367</v>
      </c>
      <c r="C541" s="915" t="str">
        <f t="shared" si="8"/>
        <v>1월</v>
      </c>
      <c r="D541" s="916" t="s">
        <v>4372</v>
      </c>
      <c r="E541" s="916" t="s">
        <v>4373</v>
      </c>
      <c r="F541" s="916" t="s">
        <v>4374</v>
      </c>
      <c r="G541" s="915" t="s">
        <v>4375</v>
      </c>
      <c r="H541" s="917">
        <v>16800</v>
      </c>
      <c r="I541" s="918"/>
      <c r="J541" s="917">
        <v>51955</v>
      </c>
    </row>
    <row r="542" spans="1:10">
      <c r="A542" t="s">
        <v>3871</v>
      </c>
      <c r="B542" s="915" t="s">
        <v>3859</v>
      </c>
      <c r="C542" s="915" t="str">
        <f t="shared" si="8"/>
        <v>12월</v>
      </c>
      <c r="D542" s="916" t="s">
        <v>3660</v>
      </c>
      <c r="E542" s="916"/>
      <c r="F542" s="916" t="s">
        <v>3733</v>
      </c>
      <c r="G542" s="915"/>
      <c r="H542" s="917">
        <v>16800</v>
      </c>
      <c r="I542" s="918"/>
      <c r="J542" s="918"/>
    </row>
    <row r="543" spans="1:10">
      <c r="A543" t="s">
        <v>3871</v>
      </c>
      <c r="B543" s="915" t="s">
        <v>3779</v>
      </c>
      <c r="C543" s="915" t="str">
        <f t="shared" si="8"/>
        <v>8월</v>
      </c>
      <c r="D543" s="916" t="s">
        <v>3660</v>
      </c>
      <c r="E543" s="916"/>
      <c r="F543" s="916" t="s">
        <v>3733</v>
      </c>
      <c r="G543" s="915"/>
      <c r="H543" s="917">
        <v>16400</v>
      </c>
      <c r="I543" s="918"/>
      <c r="J543" s="918"/>
    </row>
    <row r="544" spans="1:10">
      <c r="A544" t="s">
        <v>4597</v>
      </c>
      <c r="B544" s="915" t="s">
        <v>4532</v>
      </c>
      <c r="C544" s="915" t="str">
        <f t="shared" si="8"/>
        <v>8월</v>
      </c>
      <c r="D544" s="916" t="s">
        <v>4416</v>
      </c>
      <c r="E544" s="916" t="s">
        <v>4438</v>
      </c>
      <c r="F544" s="916" t="s">
        <v>4439</v>
      </c>
      <c r="G544" s="915"/>
      <c r="H544" s="917">
        <v>16328</v>
      </c>
      <c r="I544" s="918"/>
      <c r="J544" s="918"/>
    </row>
    <row r="545" spans="1:10">
      <c r="A545" t="s">
        <v>3871</v>
      </c>
      <c r="B545" s="915" t="s">
        <v>3680</v>
      </c>
      <c r="C545" s="915" t="str">
        <f t="shared" si="8"/>
        <v>2월</v>
      </c>
      <c r="D545" s="916" t="s">
        <v>3681</v>
      </c>
      <c r="E545" s="916"/>
      <c r="F545" s="916" t="s">
        <v>3682</v>
      </c>
      <c r="G545" s="915"/>
      <c r="H545" s="917">
        <v>16000</v>
      </c>
      <c r="I545" s="918"/>
      <c r="J545" s="918"/>
    </row>
    <row r="546" spans="1:10">
      <c r="A546" t="s">
        <v>4362</v>
      </c>
      <c r="B546" s="915" t="s">
        <v>3604</v>
      </c>
      <c r="C546" s="915" t="str">
        <f t="shared" si="8"/>
        <v>2월</v>
      </c>
      <c r="D546" s="916" t="s">
        <v>3607</v>
      </c>
      <c r="E546" s="916"/>
      <c r="F546" s="916" t="s">
        <v>4312</v>
      </c>
      <c r="G546" s="915"/>
      <c r="H546" s="917">
        <v>16000</v>
      </c>
      <c r="I546" s="918"/>
      <c r="J546" s="917">
        <v>174890</v>
      </c>
    </row>
    <row r="547" spans="1:10">
      <c r="A547" t="s">
        <v>3871</v>
      </c>
      <c r="B547" s="915" t="s">
        <v>3841</v>
      </c>
      <c r="C547" s="915" t="str">
        <f t="shared" si="8"/>
        <v>11월</v>
      </c>
      <c r="D547" s="916" t="s">
        <v>3660</v>
      </c>
      <c r="E547" s="916"/>
      <c r="F547" s="916" t="s">
        <v>3845</v>
      </c>
      <c r="G547" s="915"/>
      <c r="H547" s="917">
        <v>16000</v>
      </c>
      <c r="I547" s="918"/>
      <c r="J547" s="918"/>
    </row>
    <row r="548" spans="1:10">
      <c r="A548" t="s">
        <v>3871</v>
      </c>
      <c r="B548" s="915" t="s">
        <v>3779</v>
      </c>
      <c r="C548" s="915" t="str">
        <f t="shared" si="8"/>
        <v>8월</v>
      </c>
      <c r="D548" s="916" t="s">
        <v>3660</v>
      </c>
      <c r="E548" s="916"/>
      <c r="F548" s="916" t="s">
        <v>3733</v>
      </c>
      <c r="G548" s="915"/>
      <c r="H548" s="917">
        <v>15500</v>
      </c>
      <c r="I548" s="918"/>
      <c r="J548" s="918"/>
    </row>
    <row r="549" spans="1:10">
      <c r="A549" t="s">
        <v>4110</v>
      </c>
      <c r="B549" s="915" t="s">
        <v>4093</v>
      </c>
      <c r="C549" s="915" t="str">
        <f t="shared" si="8"/>
        <v>4월</v>
      </c>
      <c r="D549" s="916" t="s">
        <v>3808</v>
      </c>
      <c r="E549" s="916"/>
      <c r="F549" s="916" t="s">
        <v>4094</v>
      </c>
      <c r="G549" s="915"/>
      <c r="H549" s="917">
        <v>15400</v>
      </c>
      <c r="I549" s="918"/>
      <c r="J549" s="918"/>
    </row>
    <row r="550" spans="1:10">
      <c r="A550" t="s">
        <v>3871</v>
      </c>
      <c r="B550" s="915" t="s">
        <v>3838</v>
      </c>
      <c r="C550" s="915" t="str">
        <f t="shared" si="8"/>
        <v>11월</v>
      </c>
      <c r="D550" s="916" t="s">
        <v>3660</v>
      </c>
      <c r="E550" s="916"/>
      <c r="F550" s="916" t="s">
        <v>3733</v>
      </c>
      <c r="G550" s="915"/>
      <c r="H550" s="917">
        <v>15300</v>
      </c>
      <c r="I550" s="918"/>
      <c r="J550" s="918"/>
    </row>
    <row r="551" spans="1:10">
      <c r="A551" t="s">
        <v>4110</v>
      </c>
      <c r="B551" s="915" t="s">
        <v>3757</v>
      </c>
      <c r="C551" s="915" t="str">
        <f t="shared" si="8"/>
        <v>7월</v>
      </c>
      <c r="D551" s="916" t="s">
        <v>3740</v>
      </c>
      <c r="E551" s="916"/>
      <c r="F551" s="916" t="s">
        <v>3733</v>
      </c>
      <c r="G551" s="915"/>
      <c r="H551" s="917">
        <v>15100</v>
      </c>
      <c r="I551" s="918"/>
      <c r="J551" s="918"/>
    </row>
    <row r="552" spans="1:10">
      <c r="A552" t="s">
        <v>4597</v>
      </c>
      <c r="B552" s="915" t="s">
        <v>4338</v>
      </c>
      <c r="C552" s="915" t="str">
        <f t="shared" si="8"/>
        <v>6월</v>
      </c>
      <c r="D552" s="916" t="s">
        <v>4394</v>
      </c>
      <c r="E552" s="916" t="s">
        <v>4369</v>
      </c>
      <c r="F552" s="916" t="s">
        <v>4370</v>
      </c>
      <c r="G552" s="915"/>
      <c r="H552" s="917">
        <v>15042</v>
      </c>
      <c r="I552" s="918"/>
      <c r="J552" s="918"/>
    </row>
    <row r="553" spans="1:10">
      <c r="A553" t="s">
        <v>3871</v>
      </c>
      <c r="B553" s="915" t="s">
        <v>3601</v>
      </c>
      <c r="C553" s="915" t="str">
        <f t="shared" si="8"/>
        <v>2월</v>
      </c>
      <c r="D553" s="916" t="s">
        <v>3660</v>
      </c>
      <c r="E553" s="916"/>
      <c r="F553" s="916" t="s">
        <v>3661</v>
      </c>
      <c r="G553" s="915"/>
      <c r="H553" s="917">
        <v>15000</v>
      </c>
      <c r="I553" s="918"/>
      <c r="J553" s="918"/>
    </row>
    <row r="554" spans="1:10">
      <c r="A554" t="s">
        <v>4597</v>
      </c>
      <c r="B554" s="915" t="s">
        <v>4097</v>
      </c>
      <c r="C554" s="915" t="str">
        <f t="shared" si="8"/>
        <v>5월</v>
      </c>
      <c r="D554" s="916" t="s">
        <v>4469</v>
      </c>
      <c r="E554" s="916"/>
      <c r="F554" s="916" t="s">
        <v>4470</v>
      </c>
      <c r="G554" s="915"/>
      <c r="H554" s="917">
        <v>15000</v>
      </c>
      <c r="I554" s="918"/>
      <c r="J554" s="918"/>
    </row>
    <row r="555" spans="1:10">
      <c r="A555" t="s">
        <v>4010</v>
      </c>
      <c r="B555" s="915" t="s">
        <v>3616</v>
      </c>
      <c r="C555" s="915" t="str">
        <f t="shared" si="8"/>
        <v>9월</v>
      </c>
      <c r="D555" s="916" t="s">
        <v>3978</v>
      </c>
      <c r="E555" s="916"/>
      <c r="F555" s="916" t="s">
        <v>3980</v>
      </c>
      <c r="G555" s="915"/>
      <c r="H555" s="917">
        <v>15000</v>
      </c>
      <c r="I555" s="918"/>
      <c r="J555" s="918"/>
    </row>
    <row r="556" spans="1:10">
      <c r="A556" t="s">
        <v>4362</v>
      </c>
      <c r="B556" s="915" t="s">
        <v>3635</v>
      </c>
      <c r="C556" s="915" t="str">
        <f t="shared" si="8"/>
        <v>1월</v>
      </c>
      <c r="D556" s="916" t="s">
        <v>4293</v>
      </c>
      <c r="E556" s="916"/>
      <c r="F556" s="916" t="s">
        <v>4297</v>
      </c>
      <c r="G556" s="915"/>
      <c r="H556" s="917">
        <v>15000</v>
      </c>
      <c r="I556" s="918"/>
      <c r="J556" s="918"/>
    </row>
    <row r="557" spans="1:10">
      <c r="A557" t="s">
        <v>4362</v>
      </c>
      <c r="B557" s="915" t="s">
        <v>4324</v>
      </c>
      <c r="C557" s="915" t="str">
        <f t="shared" si="8"/>
        <v>3월</v>
      </c>
      <c r="D557" s="916" t="s">
        <v>4325</v>
      </c>
      <c r="E557" s="916"/>
      <c r="F557" s="916" t="s">
        <v>4326</v>
      </c>
      <c r="G557" s="915"/>
      <c r="H557" s="917">
        <v>15000</v>
      </c>
      <c r="I557" s="918"/>
      <c r="J557" s="917">
        <v>259890</v>
      </c>
    </row>
    <row r="558" spans="1:10">
      <c r="A558" t="s">
        <v>4362</v>
      </c>
      <c r="B558" s="915" t="s">
        <v>4215</v>
      </c>
      <c r="C558" s="915" t="str">
        <f t="shared" si="8"/>
        <v>12월</v>
      </c>
      <c r="D558" s="916" t="s">
        <v>4358</v>
      </c>
      <c r="E558" s="916"/>
      <c r="F558" s="916" t="s">
        <v>4359</v>
      </c>
      <c r="G558" s="915"/>
      <c r="H558" s="917">
        <v>15000</v>
      </c>
      <c r="I558" s="918"/>
      <c r="J558" s="918"/>
    </row>
    <row r="559" spans="1:10">
      <c r="A559" t="s">
        <v>4629</v>
      </c>
      <c r="B559" s="915" t="s">
        <v>3640</v>
      </c>
      <c r="C559" s="915" t="str">
        <f t="shared" si="8"/>
        <v>1월</v>
      </c>
      <c r="D559" s="916" t="s">
        <v>4598</v>
      </c>
      <c r="E559" s="916"/>
      <c r="F559" s="916" t="s">
        <v>4599</v>
      </c>
      <c r="G559" s="915"/>
      <c r="H559" s="917">
        <v>15000</v>
      </c>
      <c r="I559" s="918"/>
      <c r="J559" s="918"/>
    </row>
    <row r="560" spans="1:10">
      <c r="A560" t="s">
        <v>4629</v>
      </c>
      <c r="B560" s="915" t="s">
        <v>3640</v>
      </c>
      <c r="C560" s="915" t="str">
        <f t="shared" si="8"/>
        <v>1월</v>
      </c>
      <c r="D560" s="916" t="s">
        <v>4598</v>
      </c>
      <c r="E560" s="916"/>
      <c r="F560" s="916" t="s">
        <v>4600</v>
      </c>
      <c r="G560" s="915"/>
      <c r="H560" s="917">
        <v>15000</v>
      </c>
      <c r="I560" s="918"/>
      <c r="J560" s="917">
        <v>30000</v>
      </c>
    </row>
    <row r="561" spans="1:10">
      <c r="A561" t="s">
        <v>4629</v>
      </c>
      <c r="B561" s="915" t="s">
        <v>4236</v>
      </c>
      <c r="C561" s="915" t="str">
        <f t="shared" si="8"/>
        <v>2월</v>
      </c>
      <c r="D561" s="916" t="s">
        <v>4606</v>
      </c>
      <c r="E561" s="916"/>
      <c r="F561" s="916" t="s">
        <v>4599</v>
      </c>
      <c r="G561" s="915"/>
      <c r="H561" s="917">
        <v>15000</v>
      </c>
      <c r="I561" s="918"/>
      <c r="J561" s="918"/>
    </row>
    <row r="562" spans="1:10">
      <c r="A562" t="s">
        <v>4629</v>
      </c>
      <c r="B562" s="915" t="s">
        <v>4236</v>
      </c>
      <c r="C562" s="915" t="str">
        <f t="shared" si="8"/>
        <v>2월</v>
      </c>
      <c r="D562" s="916" t="s">
        <v>4606</v>
      </c>
      <c r="E562" s="916"/>
      <c r="F562" s="916" t="s">
        <v>4600</v>
      </c>
      <c r="G562" s="915"/>
      <c r="H562" s="917">
        <v>15000</v>
      </c>
      <c r="I562" s="918"/>
      <c r="J562" s="917">
        <v>95200</v>
      </c>
    </row>
    <row r="563" spans="1:10">
      <c r="A563" t="s">
        <v>4629</v>
      </c>
      <c r="B563" s="915" t="s">
        <v>3706</v>
      </c>
      <c r="C563" s="915" t="str">
        <f t="shared" si="8"/>
        <v>3월</v>
      </c>
      <c r="D563" s="916" t="s">
        <v>4608</v>
      </c>
      <c r="E563" s="916"/>
      <c r="F563" s="916" t="s">
        <v>4599</v>
      </c>
      <c r="G563" s="915"/>
      <c r="H563" s="917">
        <v>15000</v>
      </c>
      <c r="I563" s="918"/>
      <c r="J563" s="918"/>
    </row>
    <row r="564" spans="1:10">
      <c r="A564" t="s">
        <v>4629</v>
      </c>
      <c r="B564" s="915" t="s">
        <v>3706</v>
      </c>
      <c r="C564" s="915" t="str">
        <f t="shared" si="8"/>
        <v>3월</v>
      </c>
      <c r="D564" s="916" t="s">
        <v>4608</v>
      </c>
      <c r="E564" s="916"/>
      <c r="F564" s="916" t="s">
        <v>4600</v>
      </c>
      <c r="G564" s="915"/>
      <c r="H564" s="917">
        <v>15000</v>
      </c>
      <c r="I564" s="918"/>
      <c r="J564" s="917">
        <v>130700</v>
      </c>
    </row>
    <row r="565" spans="1:10">
      <c r="A565" t="s">
        <v>4629</v>
      </c>
      <c r="B565" s="915" t="s">
        <v>4332</v>
      </c>
      <c r="C565" s="915" t="str">
        <f t="shared" si="8"/>
        <v>4월</v>
      </c>
      <c r="D565" s="916" t="s">
        <v>4611</v>
      </c>
      <c r="E565" s="916"/>
      <c r="F565" s="916" t="s">
        <v>4599</v>
      </c>
      <c r="G565" s="915"/>
      <c r="H565" s="917">
        <v>15000</v>
      </c>
      <c r="I565" s="918"/>
      <c r="J565" s="918"/>
    </row>
    <row r="566" spans="1:10">
      <c r="A566" t="s">
        <v>4629</v>
      </c>
      <c r="B566" s="915" t="s">
        <v>4332</v>
      </c>
      <c r="C566" s="915" t="str">
        <f t="shared" si="8"/>
        <v>4월</v>
      </c>
      <c r="D566" s="916" t="s">
        <v>4611</v>
      </c>
      <c r="E566" s="916"/>
      <c r="F566" s="916" t="s">
        <v>4600</v>
      </c>
      <c r="G566" s="915"/>
      <c r="H566" s="917">
        <v>15000</v>
      </c>
      <c r="I566" s="918"/>
      <c r="J566" s="917">
        <v>315000</v>
      </c>
    </row>
    <row r="567" spans="1:10">
      <c r="A567" t="s">
        <v>4629</v>
      </c>
      <c r="B567" s="915" t="s">
        <v>3747</v>
      </c>
      <c r="C567" s="915" t="str">
        <f t="shared" si="8"/>
        <v>5월</v>
      </c>
      <c r="D567" s="916" t="s">
        <v>4612</v>
      </c>
      <c r="E567" s="916"/>
      <c r="F567" s="916" t="s">
        <v>4599</v>
      </c>
      <c r="G567" s="915"/>
      <c r="H567" s="917">
        <v>15000</v>
      </c>
      <c r="I567" s="918"/>
      <c r="J567" s="918"/>
    </row>
    <row r="568" spans="1:10">
      <c r="A568" t="s">
        <v>4629</v>
      </c>
      <c r="B568" s="915" t="s">
        <v>3747</v>
      </c>
      <c r="C568" s="915" t="str">
        <f t="shared" si="8"/>
        <v>5월</v>
      </c>
      <c r="D568" s="916" t="s">
        <v>4612</v>
      </c>
      <c r="E568" s="916"/>
      <c r="F568" s="916" t="s">
        <v>4600</v>
      </c>
      <c r="G568" s="915"/>
      <c r="H568" s="917">
        <v>15000</v>
      </c>
      <c r="I568" s="918"/>
      <c r="J568" s="917">
        <v>345000</v>
      </c>
    </row>
    <row r="569" spans="1:10">
      <c r="A569" t="s">
        <v>4629</v>
      </c>
      <c r="B569" s="915" t="s">
        <v>4049</v>
      </c>
      <c r="C569" s="915" t="str">
        <f t="shared" si="8"/>
        <v>6월</v>
      </c>
      <c r="D569" s="916" t="s">
        <v>4613</v>
      </c>
      <c r="E569" s="916"/>
      <c r="F569" s="916" t="s">
        <v>4599</v>
      </c>
      <c r="G569" s="915"/>
      <c r="H569" s="917">
        <v>15000</v>
      </c>
      <c r="I569" s="918"/>
      <c r="J569" s="918"/>
    </row>
    <row r="570" spans="1:10">
      <c r="A570" t="s">
        <v>4629</v>
      </c>
      <c r="B570" s="915" t="s">
        <v>4049</v>
      </c>
      <c r="C570" s="915" t="str">
        <f t="shared" si="8"/>
        <v>6월</v>
      </c>
      <c r="D570" s="916" t="s">
        <v>4613</v>
      </c>
      <c r="E570" s="916"/>
      <c r="F570" s="916" t="s">
        <v>4600</v>
      </c>
      <c r="G570" s="915"/>
      <c r="H570" s="917">
        <v>15000</v>
      </c>
      <c r="I570" s="918"/>
      <c r="J570" s="917">
        <v>375000</v>
      </c>
    </row>
    <row r="571" spans="1:10">
      <c r="A571" t="s">
        <v>4629</v>
      </c>
      <c r="B571" s="915" t="s">
        <v>3326</v>
      </c>
      <c r="C571" s="915" t="str">
        <f t="shared" si="8"/>
        <v>7월</v>
      </c>
      <c r="D571" s="916" t="s">
        <v>4618</v>
      </c>
      <c r="E571" s="916"/>
      <c r="F571" s="916" t="s">
        <v>4599</v>
      </c>
      <c r="G571" s="915"/>
      <c r="H571" s="917">
        <v>15000</v>
      </c>
      <c r="I571" s="918"/>
      <c r="J571" s="918"/>
    </row>
    <row r="572" spans="1:10">
      <c r="A572" t="s">
        <v>4629</v>
      </c>
      <c r="B572" s="915" t="s">
        <v>3326</v>
      </c>
      <c r="C572" s="915" t="str">
        <f t="shared" si="8"/>
        <v>7월</v>
      </c>
      <c r="D572" s="916" t="s">
        <v>4618</v>
      </c>
      <c r="E572" s="916"/>
      <c r="F572" s="916" t="s">
        <v>4600</v>
      </c>
      <c r="G572" s="915"/>
      <c r="H572" s="917">
        <v>15000</v>
      </c>
      <c r="I572" s="918"/>
      <c r="J572" s="917">
        <v>455000</v>
      </c>
    </row>
    <row r="573" spans="1:10">
      <c r="A573" t="s">
        <v>4629</v>
      </c>
      <c r="B573" s="915" t="s">
        <v>4532</v>
      </c>
      <c r="C573" s="915" t="str">
        <f t="shared" si="8"/>
        <v>8월</v>
      </c>
      <c r="D573" s="916" t="s">
        <v>4620</v>
      </c>
      <c r="E573" s="916"/>
      <c r="F573" s="916" t="s">
        <v>4599</v>
      </c>
      <c r="G573" s="915"/>
      <c r="H573" s="917">
        <v>15000</v>
      </c>
      <c r="I573" s="918"/>
      <c r="J573" s="918"/>
    </row>
    <row r="574" spans="1:10">
      <c r="A574" t="s">
        <v>4629</v>
      </c>
      <c r="B574" s="915" t="s">
        <v>4532</v>
      </c>
      <c r="C574" s="915" t="str">
        <f t="shared" si="8"/>
        <v>8월</v>
      </c>
      <c r="D574" s="916" t="s">
        <v>4620</v>
      </c>
      <c r="E574" s="916"/>
      <c r="F574" s="916" t="s">
        <v>4600</v>
      </c>
      <c r="G574" s="915"/>
      <c r="H574" s="917">
        <v>15000</v>
      </c>
      <c r="I574" s="918"/>
      <c r="J574" s="917">
        <v>493800</v>
      </c>
    </row>
    <row r="575" spans="1:10">
      <c r="A575" t="s">
        <v>4629</v>
      </c>
      <c r="B575" s="915" t="s">
        <v>3616</v>
      </c>
      <c r="C575" s="915" t="str">
        <f t="shared" si="8"/>
        <v>9월</v>
      </c>
      <c r="D575" s="916" t="s">
        <v>4621</v>
      </c>
      <c r="E575" s="916"/>
      <c r="F575" s="916" t="s">
        <v>4599</v>
      </c>
      <c r="G575" s="915"/>
      <c r="H575" s="917">
        <v>15000</v>
      </c>
      <c r="I575" s="918"/>
      <c r="J575" s="918"/>
    </row>
    <row r="576" spans="1:10">
      <c r="A576" t="s">
        <v>4629</v>
      </c>
      <c r="B576" s="915" t="s">
        <v>3616</v>
      </c>
      <c r="C576" s="915" t="str">
        <f t="shared" si="8"/>
        <v>9월</v>
      </c>
      <c r="D576" s="916" t="s">
        <v>4621</v>
      </c>
      <c r="E576" s="916"/>
      <c r="F576" s="916" t="s">
        <v>4600</v>
      </c>
      <c r="G576" s="915"/>
      <c r="H576" s="917">
        <v>15000</v>
      </c>
      <c r="I576" s="918"/>
      <c r="J576" s="917">
        <v>573300</v>
      </c>
    </row>
    <row r="577" spans="1:10">
      <c r="A577" t="s">
        <v>4629</v>
      </c>
      <c r="B577" s="915" t="s">
        <v>4625</v>
      </c>
      <c r="C577" s="915" t="str">
        <f t="shared" si="8"/>
        <v>11월</v>
      </c>
      <c r="D577" s="916" t="s">
        <v>4626</v>
      </c>
      <c r="E577" s="916"/>
      <c r="F577" s="916" t="s">
        <v>4599</v>
      </c>
      <c r="G577" s="915"/>
      <c r="H577" s="917">
        <v>15000</v>
      </c>
      <c r="I577" s="918"/>
      <c r="J577" s="918"/>
    </row>
    <row r="578" spans="1:10">
      <c r="A578" t="s">
        <v>4629</v>
      </c>
      <c r="B578" s="915" t="s">
        <v>4625</v>
      </c>
      <c r="C578" s="915" t="str">
        <f t="shared" ref="C578:C641" si="9">MONTH(B578)&amp;"월"</f>
        <v>11월</v>
      </c>
      <c r="D578" s="916" t="s">
        <v>4626</v>
      </c>
      <c r="E578" s="916"/>
      <c r="F578" s="916" t="s">
        <v>4600</v>
      </c>
      <c r="G578" s="915"/>
      <c r="H578" s="917">
        <v>15000</v>
      </c>
      <c r="I578" s="918"/>
      <c r="J578" s="917">
        <v>612100</v>
      </c>
    </row>
    <row r="579" spans="1:10">
      <c r="A579" t="s">
        <v>4629</v>
      </c>
      <c r="B579" s="915" t="s">
        <v>3996</v>
      </c>
      <c r="C579" s="915" t="str">
        <f t="shared" si="9"/>
        <v>11월</v>
      </c>
      <c r="D579" s="916" t="s">
        <v>4627</v>
      </c>
      <c r="E579" s="916"/>
      <c r="F579" s="916" t="s">
        <v>4599</v>
      </c>
      <c r="G579" s="915"/>
      <c r="H579" s="917">
        <v>15000</v>
      </c>
      <c r="I579" s="918"/>
      <c r="J579" s="918"/>
    </row>
    <row r="580" spans="1:10">
      <c r="A580" t="s">
        <v>4629</v>
      </c>
      <c r="B580" s="915" t="s">
        <v>3996</v>
      </c>
      <c r="C580" s="915" t="str">
        <f t="shared" si="9"/>
        <v>11월</v>
      </c>
      <c r="D580" s="916" t="s">
        <v>4627</v>
      </c>
      <c r="E580" s="916"/>
      <c r="F580" s="916" t="s">
        <v>4600</v>
      </c>
      <c r="G580" s="915"/>
      <c r="H580" s="917">
        <v>15000</v>
      </c>
      <c r="I580" s="918"/>
      <c r="J580" s="917">
        <v>642100</v>
      </c>
    </row>
    <row r="581" spans="1:10">
      <c r="A581" t="s">
        <v>4629</v>
      </c>
      <c r="B581" s="915" t="s">
        <v>4219</v>
      </c>
      <c r="C581" s="915" t="str">
        <f t="shared" si="9"/>
        <v>12월</v>
      </c>
      <c r="D581" s="916" t="s">
        <v>4628</v>
      </c>
      <c r="E581" s="916"/>
      <c r="F581" s="916" t="s">
        <v>4599</v>
      </c>
      <c r="G581" s="915"/>
      <c r="H581" s="917">
        <v>15000</v>
      </c>
      <c r="I581" s="918"/>
      <c r="J581" s="918"/>
    </row>
    <row r="582" spans="1:10">
      <c r="A582" t="s">
        <v>4629</v>
      </c>
      <c r="B582" s="915" t="s">
        <v>4219</v>
      </c>
      <c r="C582" s="915" t="str">
        <f t="shared" si="9"/>
        <v>12월</v>
      </c>
      <c r="D582" s="916" t="s">
        <v>4628</v>
      </c>
      <c r="E582" s="916"/>
      <c r="F582" s="916" t="s">
        <v>4600</v>
      </c>
      <c r="G582" s="915"/>
      <c r="H582" s="917">
        <v>15000</v>
      </c>
      <c r="I582" s="918"/>
      <c r="J582" s="917">
        <v>672100</v>
      </c>
    </row>
    <row r="583" spans="1:10">
      <c r="A583" t="s">
        <v>3921</v>
      </c>
      <c r="B583" s="915" t="s">
        <v>3912</v>
      </c>
      <c r="C583" s="915" t="str">
        <f t="shared" si="9"/>
        <v>10월</v>
      </c>
      <c r="D583" s="916" t="s">
        <v>3913</v>
      </c>
      <c r="E583" s="916"/>
      <c r="F583" s="916" t="s">
        <v>3918</v>
      </c>
      <c r="G583" s="915"/>
      <c r="H583" s="917">
        <v>14850</v>
      </c>
      <c r="I583" s="918"/>
      <c r="J583" s="918"/>
    </row>
    <row r="584" spans="1:10">
      <c r="A584" t="s">
        <v>3871</v>
      </c>
      <c r="B584" s="915" t="s">
        <v>3835</v>
      </c>
      <c r="C584" s="915" t="str">
        <f t="shared" si="9"/>
        <v>11월</v>
      </c>
      <c r="D584" s="916" t="s">
        <v>3660</v>
      </c>
      <c r="E584" s="916"/>
      <c r="F584" s="916" t="s">
        <v>3733</v>
      </c>
      <c r="G584" s="915"/>
      <c r="H584" s="917">
        <v>14800</v>
      </c>
      <c r="I584" s="918"/>
      <c r="J584" s="918"/>
    </row>
    <row r="585" spans="1:10">
      <c r="A585" t="s">
        <v>3871</v>
      </c>
      <c r="B585" s="915" t="s">
        <v>3714</v>
      </c>
      <c r="C585" s="915" t="str">
        <f t="shared" si="9"/>
        <v>4월</v>
      </c>
      <c r="D585" s="916" t="s">
        <v>3715</v>
      </c>
      <c r="E585" s="916"/>
      <c r="F585" s="916" t="s">
        <v>3610</v>
      </c>
      <c r="G585" s="915"/>
      <c r="H585" s="917">
        <v>14600</v>
      </c>
      <c r="I585" s="918"/>
      <c r="J585" s="917">
        <v>-1726190</v>
      </c>
    </row>
    <row r="586" spans="1:10">
      <c r="A586" t="s">
        <v>4110</v>
      </c>
      <c r="B586" s="915" t="s">
        <v>3739</v>
      </c>
      <c r="C586" s="915" t="str">
        <f t="shared" si="9"/>
        <v>5월</v>
      </c>
      <c r="D586" s="916" t="s">
        <v>3740</v>
      </c>
      <c r="E586" s="916"/>
      <c r="F586" s="916" t="s">
        <v>4102</v>
      </c>
      <c r="G586" s="915"/>
      <c r="H586" s="917">
        <v>14500</v>
      </c>
      <c r="I586" s="918"/>
      <c r="J586" s="918"/>
    </row>
    <row r="587" spans="1:10">
      <c r="A587" t="s">
        <v>4629</v>
      </c>
      <c r="B587" s="915" t="s">
        <v>3719</v>
      </c>
      <c r="C587" s="915" t="str">
        <f t="shared" si="9"/>
        <v>4월</v>
      </c>
      <c r="D587" s="916" t="s">
        <v>4609</v>
      </c>
      <c r="E587" s="916" t="s">
        <v>4602</v>
      </c>
      <c r="F587" s="916" t="s">
        <v>4603</v>
      </c>
      <c r="G587" s="915" t="s">
        <v>4604</v>
      </c>
      <c r="H587" s="917">
        <v>14300</v>
      </c>
      <c r="I587" s="918"/>
      <c r="J587" s="917">
        <v>145000</v>
      </c>
    </row>
    <row r="588" spans="1:10">
      <c r="A588" t="s">
        <v>3871</v>
      </c>
      <c r="B588" s="915" t="s">
        <v>3788</v>
      </c>
      <c r="C588" s="915" t="str">
        <f t="shared" si="9"/>
        <v>9월</v>
      </c>
      <c r="D588" s="916" t="s">
        <v>3703</v>
      </c>
      <c r="E588" s="916"/>
      <c r="F588" s="916" t="s">
        <v>3794</v>
      </c>
      <c r="G588" s="915"/>
      <c r="H588" s="917">
        <v>14300</v>
      </c>
      <c r="I588" s="918"/>
      <c r="J588" s="917">
        <v>1392881</v>
      </c>
    </row>
    <row r="589" spans="1:10">
      <c r="A589" t="s">
        <v>4110</v>
      </c>
      <c r="B589" s="915" t="s">
        <v>3757</v>
      </c>
      <c r="C589" s="915" t="str">
        <f t="shared" si="9"/>
        <v>7월</v>
      </c>
      <c r="D589" s="916" t="s">
        <v>3740</v>
      </c>
      <c r="E589" s="916"/>
      <c r="F589" s="916" t="s">
        <v>4108</v>
      </c>
      <c r="G589" s="915"/>
      <c r="H589" s="917">
        <v>14200</v>
      </c>
      <c r="I589" s="918"/>
      <c r="J589" s="918"/>
    </row>
    <row r="590" spans="1:10">
      <c r="A590" t="s">
        <v>4292</v>
      </c>
      <c r="B590" s="915" t="s">
        <v>3645</v>
      </c>
      <c r="C590" s="915" t="str">
        <f t="shared" si="9"/>
        <v>1월</v>
      </c>
      <c r="D590" s="916" t="s">
        <v>4229</v>
      </c>
      <c r="E590" s="916"/>
      <c r="F590" s="916" t="s">
        <v>4230</v>
      </c>
      <c r="G590" s="915"/>
      <c r="H590" s="917">
        <v>14150</v>
      </c>
      <c r="I590" s="918"/>
      <c r="J590" s="917">
        <v>386460</v>
      </c>
    </row>
    <row r="591" spans="1:10">
      <c r="A591" t="s">
        <v>4292</v>
      </c>
      <c r="B591" s="915" t="s">
        <v>3687</v>
      </c>
      <c r="C591" s="915" t="str">
        <f t="shared" si="9"/>
        <v>2월</v>
      </c>
      <c r="D591" s="916" t="s">
        <v>4229</v>
      </c>
      <c r="E591" s="916"/>
      <c r="F591" s="916" t="s">
        <v>4230</v>
      </c>
      <c r="G591" s="915"/>
      <c r="H591" s="917">
        <v>14150</v>
      </c>
      <c r="I591" s="918"/>
      <c r="J591" s="917">
        <v>432070</v>
      </c>
    </row>
    <row r="592" spans="1:10">
      <c r="A592" t="s">
        <v>4292</v>
      </c>
      <c r="B592" s="915" t="s">
        <v>3706</v>
      </c>
      <c r="C592" s="915" t="str">
        <f t="shared" si="9"/>
        <v>3월</v>
      </c>
      <c r="D592" s="916" t="s">
        <v>4229</v>
      </c>
      <c r="E592" s="916"/>
      <c r="F592" s="916" t="s">
        <v>4230</v>
      </c>
      <c r="G592" s="915"/>
      <c r="H592" s="917">
        <v>14150</v>
      </c>
      <c r="I592" s="918"/>
      <c r="J592" s="917">
        <v>446220</v>
      </c>
    </row>
    <row r="593" spans="1:10">
      <c r="A593" t="s">
        <v>4292</v>
      </c>
      <c r="B593" s="915" t="s">
        <v>3725</v>
      </c>
      <c r="C593" s="915" t="str">
        <f t="shared" si="9"/>
        <v>4월</v>
      </c>
      <c r="D593" s="916" t="s">
        <v>4248</v>
      </c>
      <c r="E593" s="916"/>
      <c r="F593" s="916" t="s">
        <v>4230</v>
      </c>
      <c r="G593" s="915"/>
      <c r="H593" s="917">
        <v>14150</v>
      </c>
      <c r="I593" s="918"/>
      <c r="J593" s="917">
        <v>446220</v>
      </c>
    </row>
    <row r="594" spans="1:10">
      <c r="A594" t="s">
        <v>4292</v>
      </c>
      <c r="B594" s="915" t="s">
        <v>4253</v>
      </c>
      <c r="C594" s="915" t="str">
        <f t="shared" si="9"/>
        <v>5월</v>
      </c>
      <c r="D594" s="916" t="s">
        <v>4229</v>
      </c>
      <c r="E594" s="916"/>
      <c r="F594" s="916" t="s">
        <v>4230</v>
      </c>
      <c r="G594" s="915"/>
      <c r="H594" s="917">
        <v>14150</v>
      </c>
      <c r="I594" s="918"/>
      <c r="J594" s="917">
        <v>460370</v>
      </c>
    </row>
    <row r="595" spans="1:10">
      <c r="A595" t="s">
        <v>4292</v>
      </c>
      <c r="B595" s="915" t="s">
        <v>4140</v>
      </c>
      <c r="C595" s="915" t="str">
        <f t="shared" si="9"/>
        <v>6월</v>
      </c>
      <c r="D595" s="916" t="s">
        <v>4229</v>
      </c>
      <c r="E595" s="916"/>
      <c r="F595" s="916" t="s">
        <v>4230</v>
      </c>
      <c r="G595" s="915"/>
      <c r="H595" s="917">
        <v>14150</v>
      </c>
      <c r="I595" s="918"/>
      <c r="J595" s="918"/>
    </row>
    <row r="596" spans="1:10">
      <c r="A596" t="s">
        <v>4292</v>
      </c>
      <c r="B596" s="915" t="s">
        <v>3326</v>
      </c>
      <c r="C596" s="915" t="str">
        <f t="shared" si="9"/>
        <v>7월</v>
      </c>
      <c r="D596" s="916" t="s">
        <v>4229</v>
      </c>
      <c r="E596" s="916"/>
      <c r="F596" s="916" t="s">
        <v>4230</v>
      </c>
      <c r="G596" s="915"/>
      <c r="H596" s="917">
        <v>14150</v>
      </c>
      <c r="I596" s="918"/>
      <c r="J596" s="917">
        <v>446220</v>
      </c>
    </row>
    <row r="597" spans="1:10">
      <c r="A597" t="s">
        <v>4292</v>
      </c>
      <c r="B597" s="915" t="s">
        <v>4274</v>
      </c>
      <c r="C597" s="915" t="str">
        <f t="shared" si="9"/>
        <v>8월</v>
      </c>
      <c r="D597" s="916" t="s">
        <v>4229</v>
      </c>
      <c r="E597" s="916"/>
      <c r="F597" s="916" t="s">
        <v>4230</v>
      </c>
      <c r="G597" s="915"/>
      <c r="H597" s="917">
        <v>14150</v>
      </c>
      <c r="I597" s="918"/>
      <c r="J597" s="917">
        <v>627760</v>
      </c>
    </row>
    <row r="598" spans="1:10" ht="22.5">
      <c r="A598" t="s">
        <v>4292</v>
      </c>
      <c r="B598" s="915" t="s">
        <v>4277</v>
      </c>
      <c r="C598" s="915" t="str">
        <f t="shared" si="9"/>
        <v>9월</v>
      </c>
      <c r="D598" s="916" t="s">
        <v>4278</v>
      </c>
      <c r="E598" s="916"/>
      <c r="F598" s="916" t="s">
        <v>4230</v>
      </c>
      <c r="G598" s="915"/>
      <c r="H598" s="917">
        <v>14150</v>
      </c>
      <c r="I598" s="918"/>
      <c r="J598" s="917">
        <v>1251040</v>
      </c>
    </row>
    <row r="599" spans="1:10" ht="22.5">
      <c r="A599" t="s">
        <v>4292</v>
      </c>
      <c r="B599" s="915" t="s">
        <v>4283</v>
      </c>
      <c r="C599" s="915" t="str">
        <f t="shared" si="9"/>
        <v>10월</v>
      </c>
      <c r="D599" s="916" t="s">
        <v>4278</v>
      </c>
      <c r="E599" s="916"/>
      <c r="F599" s="916" t="s">
        <v>4230</v>
      </c>
      <c r="G599" s="915"/>
      <c r="H599" s="917">
        <v>14150</v>
      </c>
      <c r="I599" s="918"/>
      <c r="J599" s="917">
        <v>1243900</v>
      </c>
    </row>
    <row r="600" spans="1:10" ht="22.5">
      <c r="A600" t="s">
        <v>4292</v>
      </c>
      <c r="B600" s="915" t="s">
        <v>4287</v>
      </c>
      <c r="C600" s="915" t="str">
        <f t="shared" si="9"/>
        <v>11월</v>
      </c>
      <c r="D600" s="916" t="s">
        <v>4278</v>
      </c>
      <c r="E600" s="916"/>
      <c r="F600" s="916" t="s">
        <v>4230</v>
      </c>
      <c r="G600" s="915"/>
      <c r="H600" s="917">
        <v>14150</v>
      </c>
      <c r="I600" s="918"/>
      <c r="J600" s="917">
        <v>1503610</v>
      </c>
    </row>
    <row r="601" spans="1:10" ht="22.5">
      <c r="A601" t="s">
        <v>4292</v>
      </c>
      <c r="B601" s="915" t="s">
        <v>4291</v>
      </c>
      <c r="C601" s="915" t="str">
        <f t="shared" si="9"/>
        <v>12월</v>
      </c>
      <c r="D601" s="916" t="s">
        <v>4278</v>
      </c>
      <c r="E601" s="916"/>
      <c r="F601" s="916" t="s">
        <v>4230</v>
      </c>
      <c r="G601" s="915"/>
      <c r="H601" s="917">
        <v>14150</v>
      </c>
      <c r="I601" s="918"/>
      <c r="J601" s="917">
        <v>2069800</v>
      </c>
    </row>
    <row r="602" spans="1:10">
      <c r="A602" t="s">
        <v>4110</v>
      </c>
      <c r="B602" s="915" t="s">
        <v>4093</v>
      </c>
      <c r="C602" s="915" t="str">
        <f t="shared" si="9"/>
        <v>4월</v>
      </c>
      <c r="D602" s="916" t="s">
        <v>3808</v>
      </c>
      <c r="E602" s="916"/>
      <c r="F602" s="916" t="s">
        <v>4096</v>
      </c>
      <c r="G602" s="915"/>
      <c r="H602" s="917">
        <v>14100</v>
      </c>
      <c r="I602" s="918"/>
      <c r="J602" s="917">
        <v>311700</v>
      </c>
    </row>
    <row r="603" spans="1:10">
      <c r="A603" t="s">
        <v>4110</v>
      </c>
      <c r="B603" s="915" t="s">
        <v>4097</v>
      </c>
      <c r="C603" s="915" t="str">
        <f t="shared" si="9"/>
        <v>5월</v>
      </c>
      <c r="D603" s="916" t="s">
        <v>3808</v>
      </c>
      <c r="E603" s="916"/>
      <c r="F603" s="916" t="s">
        <v>4100</v>
      </c>
      <c r="G603" s="915"/>
      <c r="H603" s="917">
        <v>14100</v>
      </c>
      <c r="I603" s="918"/>
      <c r="J603" s="918"/>
    </row>
    <row r="604" spans="1:10">
      <c r="A604" t="s">
        <v>4362</v>
      </c>
      <c r="B604" s="915" t="s">
        <v>3680</v>
      </c>
      <c r="C604" s="915" t="str">
        <f t="shared" si="9"/>
        <v>2월</v>
      </c>
      <c r="D604" s="916" t="s">
        <v>4310</v>
      </c>
      <c r="E604" s="916"/>
      <c r="F604" s="916" t="s">
        <v>4311</v>
      </c>
      <c r="G604" s="915"/>
      <c r="H604" s="917">
        <v>14000</v>
      </c>
      <c r="I604" s="918"/>
      <c r="J604" s="917">
        <v>158890</v>
      </c>
    </row>
    <row r="605" spans="1:10">
      <c r="A605" t="s">
        <v>4362</v>
      </c>
      <c r="B605" s="915" t="s">
        <v>3687</v>
      </c>
      <c r="C605" s="915" t="str">
        <f t="shared" si="9"/>
        <v>2월</v>
      </c>
      <c r="D605" s="916" t="s">
        <v>4304</v>
      </c>
      <c r="E605" s="916"/>
      <c r="F605" s="916" t="s">
        <v>4313</v>
      </c>
      <c r="G605" s="915"/>
      <c r="H605" s="917">
        <v>14000</v>
      </c>
      <c r="I605" s="918"/>
      <c r="J605" s="918"/>
    </row>
    <row r="606" spans="1:10">
      <c r="A606" t="s">
        <v>4362</v>
      </c>
      <c r="B606" s="915" t="s">
        <v>4321</v>
      </c>
      <c r="C606" s="915" t="str">
        <f t="shared" si="9"/>
        <v>3월</v>
      </c>
      <c r="D606" s="916" t="s">
        <v>4322</v>
      </c>
      <c r="E606" s="916"/>
      <c r="F606" s="916" t="s">
        <v>4323</v>
      </c>
      <c r="G606" s="915"/>
      <c r="H606" s="917">
        <v>14000</v>
      </c>
      <c r="I606" s="918"/>
      <c r="J606" s="917">
        <v>244890</v>
      </c>
    </row>
    <row r="607" spans="1:10">
      <c r="A607" t="s">
        <v>4629</v>
      </c>
      <c r="B607" s="915" t="s">
        <v>3613</v>
      </c>
      <c r="C607" s="915" t="str">
        <f t="shared" si="9"/>
        <v>6월</v>
      </c>
      <c r="D607" s="916" t="s">
        <v>4614</v>
      </c>
      <c r="E607" s="916" t="s">
        <v>4449</v>
      </c>
      <c r="F607" s="916" t="s">
        <v>4450</v>
      </c>
      <c r="G607" s="915" t="s">
        <v>4451</v>
      </c>
      <c r="H607" s="917">
        <v>14000</v>
      </c>
      <c r="I607" s="918"/>
      <c r="J607" s="917">
        <v>389000</v>
      </c>
    </row>
    <row r="608" spans="1:10">
      <c r="A608" t="s">
        <v>3871</v>
      </c>
      <c r="B608" s="915" t="s">
        <v>3841</v>
      </c>
      <c r="C608" s="915" t="str">
        <f t="shared" si="9"/>
        <v>11월</v>
      </c>
      <c r="D608" s="916" t="s">
        <v>3660</v>
      </c>
      <c r="E608" s="916"/>
      <c r="F608" s="916" t="s">
        <v>3844</v>
      </c>
      <c r="G608" s="915"/>
      <c r="H608" s="917">
        <v>13800</v>
      </c>
      <c r="I608" s="918"/>
      <c r="J608" s="918"/>
    </row>
    <row r="609" spans="1:10">
      <c r="A609" t="s">
        <v>3871</v>
      </c>
      <c r="B609" s="915" t="s">
        <v>3601</v>
      </c>
      <c r="C609" s="915" t="str">
        <f t="shared" si="9"/>
        <v>2월</v>
      </c>
      <c r="D609" s="916" t="s">
        <v>3660</v>
      </c>
      <c r="E609" s="916" t="s">
        <v>3653</v>
      </c>
      <c r="F609" s="916" t="s">
        <v>3654</v>
      </c>
      <c r="G609" s="915" t="s">
        <v>3655</v>
      </c>
      <c r="H609" s="917">
        <v>13700</v>
      </c>
      <c r="I609" s="918"/>
      <c r="J609" s="918"/>
    </row>
    <row r="610" spans="1:10">
      <c r="A610" t="s">
        <v>3871</v>
      </c>
      <c r="B610" s="915" t="s">
        <v>3696</v>
      </c>
      <c r="C610" s="915" t="str">
        <f t="shared" si="9"/>
        <v>3월</v>
      </c>
      <c r="D610" s="916" t="s">
        <v>3660</v>
      </c>
      <c r="E610" s="916"/>
      <c r="F610" s="916" t="s">
        <v>3697</v>
      </c>
      <c r="G610" s="915"/>
      <c r="H610" s="917">
        <v>13500</v>
      </c>
      <c r="I610" s="918"/>
      <c r="J610" s="917">
        <v>1487110</v>
      </c>
    </row>
    <row r="611" spans="1:10">
      <c r="A611" t="s">
        <v>4629</v>
      </c>
      <c r="B611" s="915" t="s">
        <v>4118</v>
      </c>
      <c r="C611" s="915" t="str">
        <f t="shared" si="9"/>
        <v>7월</v>
      </c>
      <c r="D611" s="916" t="s">
        <v>4615</v>
      </c>
      <c r="E611" s="916" t="s">
        <v>4602</v>
      </c>
      <c r="F611" s="916" t="s">
        <v>4603</v>
      </c>
      <c r="G611" s="915" t="s">
        <v>4604</v>
      </c>
      <c r="H611" s="917">
        <v>13200</v>
      </c>
      <c r="I611" s="918"/>
      <c r="J611" s="917">
        <v>425000</v>
      </c>
    </row>
    <row r="612" spans="1:10">
      <c r="A612" t="s">
        <v>4597</v>
      </c>
      <c r="B612" s="915" t="s">
        <v>4035</v>
      </c>
      <c r="C612" s="915" t="str">
        <f t="shared" si="9"/>
        <v>6월</v>
      </c>
      <c r="D612" s="916" t="s">
        <v>4491</v>
      </c>
      <c r="E612" s="916"/>
      <c r="F612" s="916" t="s">
        <v>3986</v>
      </c>
      <c r="G612" s="915"/>
      <c r="H612" s="917">
        <v>13000</v>
      </c>
      <c r="I612" s="918"/>
      <c r="J612" s="917">
        <v>16381735</v>
      </c>
    </row>
    <row r="613" spans="1:10">
      <c r="A613" t="s">
        <v>4010</v>
      </c>
      <c r="B613" s="915" t="s">
        <v>3811</v>
      </c>
      <c r="C613" s="915" t="str">
        <f t="shared" si="9"/>
        <v>10월</v>
      </c>
      <c r="D613" s="916" t="s">
        <v>3985</v>
      </c>
      <c r="E613" s="916"/>
      <c r="F613" s="916" t="s">
        <v>3986</v>
      </c>
      <c r="G613" s="915"/>
      <c r="H613" s="917">
        <v>13000</v>
      </c>
      <c r="I613" s="918"/>
      <c r="J613" s="917">
        <v>6809540</v>
      </c>
    </row>
    <row r="614" spans="1:10">
      <c r="A614" t="s">
        <v>3871</v>
      </c>
      <c r="B614" s="915" t="s">
        <v>3788</v>
      </c>
      <c r="C614" s="915" t="str">
        <f t="shared" si="9"/>
        <v>9월</v>
      </c>
      <c r="D614" s="916" t="s">
        <v>3789</v>
      </c>
      <c r="E614" s="916"/>
      <c r="F614" s="916" t="s">
        <v>3791</v>
      </c>
      <c r="G614" s="915"/>
      <c r="H614" s="917">
        <v>13000</v>
      </c>
      <c r="I614" s="918"/>
      <c r="J614" s="918"/>
    </row>
    <row r="615" spans="1:10">
      <c r="A615" t="s">
        <v>3871</v>
      </c>
      <c r="B615" s="915" t="s">
        <v>3863</v>
      </c>
      <c r="C615" s="915" t="str">
        <f t="shared" si="9"/>
        <v>12월</v>
      </c>
      <c r="D615" s="916" t="s">
        <v>3660</v>
      </c>
      <c r="E615" s="916"/>
      <c r="F615" s="916" t="s">
        <v>3724</v>
      </c>
      <c r="G615" s="915"/>
      <c r="H615" s="917">
        <v>13000</v>
      </c>
      <c r="I615" s="918"/>
      <c r="J615" s="918"/>
    </row>
    <row r="616" spans="1:10">
      <c r="A616" t="s">
        <v>3871</v>
      </c>
      <c r="B616" s="915" t="s">
        <v>3779</v>
      </c>
      <c r="C616" s="915" t="str">
        <f t="shared" si="9"/>
        <v>8월</v>
      </c>
      <c r="D616" s="916" t="s">
        <v>3660</v>
      </c>
      <c r="E616" s="916"/>
      <c r="F616" s="916" t="s">
        <v>3726</v>
      </c>
      <c r="G616" s="915"/>
      <c r="H616" s="917">
        <v>12800</v>
      </c>
      <c r="I616" s="918"/>
      <c r="J616" s="918"/>
    </row>
    <row r="617" spans="1:10">
      <c r="A617" t="s">
        <v>4110</v>
      </c>
      <c r="B617" s="915" t="s">
        <v>3739</v>
      </c>
      <c r="C617" s="915" t="str">
        <f t="shared" si="9"/>
        <v>5월</v>
      </c>
      <c r="D617" s="916" t="s">
        <v>3740</v>
      </c>
      <c r="E617" s="916"/>
      <c r="F617" s="916" t="s">
        <v>4104</v>
      </c>
      <c r="G617" s="915"/>
      <c r="H617" s="917">
        <v>12600</v>
      </c>
      <c r="I617" s="918"/>
      <c r="J617" s="918"/>
    </row>
    <row r="618" spans="1:10">
      <c r="A618" t="s">
        <v>3871</v>
      </c>
      <c r="B618" s="915" t="s">
        <v>3757</v>
      </c>
      <c r="C618" s="915" t="str">
        <f t="shared" si="9"/>
        <v>7월</v>
      </c>
      <c r="D618" s="916" t="s">
        <v>3740</v>
      </c>
      <c r="E618" s="916"/>
      <c r="F618" s="916" t="s">
        <v>3759</v>
      </c>
      <c r="G618" s="915"/>
      <c r="H618" s="917">
        <v>12500</v>
      </c>
      <c r="I618" s="918"/>
      <c r="J618" s="918"/>
    </row>
    <row r="619" spans="1:10">
      <c r="A619" t="s">
        <v>3921</v>
      </c>
      <c r="B619" s="915" t="s">
        <v>3912</v>
      </c>
      <c r="C619" s="915" t="str">
        <f t="shared" si="9"/>
        <v>10월</v>
      </c>
      <c r="D619" s="916" t="s">
        <v>3913</v>
      </c>
      <c r="E619" s="916"/>
      <c r="F619" s="916" t="s">
        <v>3920</v>
      </c>
      <c r="G619" s="915"/>
      <c r="H619" s="917">
        <v>12500</v>
      </c>
      <c r="I619" s="918"/>
      <c r="J619" s="917">
        <v>4364455</v>
      </c>
    </row>
    <row r="620" spans="1:10">
      <c r="A620" t="s">
        <v>3871</v>
      </c>
      <c r="B620" s="915" t="s">
        <v>3829</v>
      </c>
      <c r="C620" s="915" t="str">
        <f t="shared" si="9"/>
        <v>11월</v>
      </c>
      <c r="D620" s="916" t="s">
        <v>3660</v>
      </c>
      <c r="E620" s="916"/>
      <c r="F620" s="916" t="s">
        <v>3733</v>
      </c>
      <c r="G620" s="915"/>
      <c r="H620" s="917">
        <v>12400</v>
      </c>
      <c r="I620" s="918"/>
      <c r="J620" s="918"/>
    </row>
    <row r="621" spans="1:10">
      <c r="A621" t="s">
        <v>3870</v>
      </c>
      <c r="B621" s="915" t="s">
        <v>3596</v>
      </c>
      <c r="C621" s="915" t="str">
        <f t="shared" si="9"/>
        <v>2월</v>
      </c>
      <c r="D621" s="916" t="s">
        <v>3597</v>
      </c>
      <c r="E621" s="916"/>
      <c r="F621" s="916" t="s">
        <v>3599</v>
      </c>
      <c r="G621" s="915"/>
      <c r="H621" s="917">
        <v>12200</v>
      </c>
      <c r="I621" s="918"/>
      <c r="J621" s="918"/>
    </row>
    <row r="622" spans="1:10">
      <c r="A622" t="s">
        <v>3871</v>
      </c>
      <c r="B622" s="915" t="s">
        <v>3649</v>
      </c>
      <c r="C622" s="915" t="str">
        <f t="shared" si="9"/>
        <v>1월</v>
      </c>
      <c r="D622" s="916" t="s">
        <v>3651</v>
      </c>
      <c r="E622" s="916"/>
      <c r="F622" s="916" t="s">
        <v>3656</v>
      </c>
      <c r="G622" s="915"/>
      <c r="H622" s="917">
        <v>12100</v>
      </c>
      <c r="I622" s="918"/>
      <c r="J622" s="918"/>
    </row>
    <row r="623" spans="1:10">
      <c r="A623" t="s">
        <v>3871</v>
      </c>
      <c r="B623" s="915" t="s">
        <v>3632</v>
      </c>
      <c r="C623" s="915" t="str">
        <f t="shared" si="9"/>
        <v>1월</v>
      </c>
      <c r="D623" s="916" t="s">
        <v>3633</v>
      </c>
      <c r="E623" s="916"/>
      <c r="F623" s="916" t="s">
        <v>3634</v>
      </c>
      <c r="G623" s="915"/>
      <c r="H623" s="917">
        <v>12000</v>
      </c>
      <c r="I623" s="918"/>
      <c r="J623" s="917">
        <v>12000</v>
      </c>
    </row>
    <row r="624" spans="1:10">
      <c r="A624" t="s">
        <v>3871</v>
      </c>
      <c r="B624" s="915" t="s">
        <v>3643</v>
      </c>
      <c r="C624" s="915" t="str">
        <f t="shared" si="9"/>
        <v>1월</v>
      </c>
      <c r="D624" s="916" t="s">
        <v>3633</v>
      </c>
      <c r="E624" s="916"/>
      <c r="F624" s="916" t="s">
        <v>3644</v>
      </c>
      <c r="G624" s="915"/>
      <c r="H624" s="917">
        <v>12000</v>
      </c>
      <c r="I624" s="918"/>
      <c r="J624" s="917">
        <v>278870</v>
      </c>
    </row>
    <row r="625" spans="1:10">
      <c r="A625" t="s">
        <v>4010</v>
      </c>
      <c r="B625" s="915" t="s">
        <v>3811</v>
      </c>
      <c r="C625" s="915" t="str">
        <f t="shared" si="9"/>
        <v>10월</v>
      </c>
      <c r="D625" s="916" t="s">
        <v>3985</v>
      </c>
      <c r="E625" s="916"/>
      <c r="F625" s="916" t="s">
        <v>3928</v>
      </c>
      <c r="G625" s="915"/>
      <c r="H625" s="917">
        <v>12000</v>
      </c>
      <c r="I625" s="918"/>
      <c r="J625" s="918"/>
    </row>
    <row r="626" spans="1:10">
      <c r="A626" t="s">
        <v>3871</v>
      </c>
      <c r="B626" s="915" t="s">
        <v>3779</v>
      </c>
      <c r="C626" s="915" t="str">
        <f t="shared" si="9"/>
        <v>8월</v>
      </c>
      <c r="D626" s="916" t="s">
        <v>3660</v>
      </c>
      <c r="E626" s="916"/>
      <c r="F626" s="916" t="s">
        <v>3733</v>
      </c>
      <c r="G626" s="915"/>
      <c r="H626" s="917">
        <v>12000</v>
      </c>
      <c r="I626" s="918"/>
      <c r="J626" s="918"/>
    </row>
    <row r="627" spans="1:10">
      <c r="A627" t="s">
        <v>4010</v>
      </c>
      <c r="B627" s="915" t="s">
        <v>3824</v>
      </c>
      <c r="C627" s="915" t="str">
        <f t="shared" si="9"/>
        <v>10월</v>
      </c>
      <c r="D627" s="916" t="s">
        <v>3963</v>
      </c>
      <c r="E627" s="916"/>
      <c r="F627" s="916" t="s">
        <v>3928</v>
      </c>
      <c r="G627" s="915"/>
      <c r="H627" s="917">
        <v>12000</v>
      </c>
      <c r="I627" s="918"/>
      <c r="J627" s="917">
        <v>8011540</v>
      </c>
    </row>
    <row r="628" spans="1:10">
      <c r="A628" t="s">
        <v>4064</v>
      </c>
      <c r="B628" s="915" t="s">
        <v>3875</v>
      </c>
      <c r="C628" s="915" t="str">
        <f t="shared" si="9"/>
        <v>2월</v>
      </c>
      <c r="D628" s="916" t="s">
        <v>4013</v>
      </c>
      <c r="E628" s="916"/>
      <c r="F628" s="916" t="s">
        <v>4014</v>
      </c>
      <c r="G628" s="915"/>
      <c r="H628" s="917">
        <v>12000</v>
      </c>
      <c r="I628" s="918"/>
      <c r="J628" s="917">
        <v>-67930</v>
      </c>
    </row>
    <row r="629" spans="1:10">
      <c r="A629" t="s">
        <v>4362</v>
      </c>
      <c r="B629" s="915" t="s">
        <v>3687</v>
      </c>
      <c r="C629" s="915" t="str">
        <f t="shared" si="9"/>
        <v>2월</v>
      </c>
      <c r="D629" s="916" t="s">
        <v>4304</v>
      </c>
      <c r="E629" s="916"/>
      <c r="F629" s="916" t="s">
        <v>4314</v>
      </c>
      <c r="G629" s="915"/>
      <c r="H629" s="917">
        <v>12000</v>
      </c>
      <c r="I629" s="918"/>
      <c r="J629" s="917">
        <v>200890</v>
      </c>
    </row>
    <row r="630" spans="1:10">
      <c r="A630" t="s">
        <v>4362</v>
      </c>
      <c r="B630" s="915" t="s">
        <v>3991</v>
      </c>
      <c r="C630" s="915" t="str">
        <f t="shared" si="9"/>
        <v>11월</v>
      </c>
      <c r="D630" s="916" t="s">
        <v>4353</v>
      </c>
      <c r="E630" s="916"/>
      <c r="F630" s="916" t="s">
        <v>4354</v>
      </c>
      <c r="G630" s="915"/>
      <c r="H630" s="917">
        <v>12000</v>
      </c>
      <c r="I630" s="918"/>
      <c r="J630" s="917">
        <v>539050</v>
      </c>
    </row>
    <row r="631" spans="1:10">
      <c r="A631" t="s">
        <v>3871</v>
      </c>
      <c r="B631" s="915" t="s">
        <v>3811</v>
      </c>
      <c r="C631" s="915" t="str">
        <f t="shared" si="9"/>
        <v>10월</v>
      </c>
      <c r="D631" s="916" t="s">
        <v>3812</v>
      </c>
      <c r="E631" s="916"/>
      <c r="F631" s="916" t="s">
        <v>3813</v>
      </c>
      <c r="G631" s="915"/>
      <c r="H631" s="917">
        <v>12000</v>
      </c>
      <c r="I631" s="918"/>
      <c r="J631" s="918"/>
    </row>
    <row r="632" spans="1:10">
      <c r="A632" t="s">
        <v>3871</v>
      </c>
      <c r="B632" s="915" t="s">
        <v>3835</v>
      </c>
      <c r="C632" s="915" t="str">
        <f t="shared" si="9"/>
        <v>11월</v>
      </c>
      <c r="D632" s="916" t="s">
        <v>3660</v>
      </c>
      <c r="E632" s="916"/>
      <c r="F632" s="916" t="s">
        <v>3701</v>
      </c>
      <c r="G632" s="915"/>
      <c r="H632" s="917">
        <v>12000</v>
      </c>
      <c r="I632" s="918"/>
      <c r="J632" s="917">
        <v>2166131</v>
      </c>
    </row>
    <row r="633" spans="1:10">
      <c r="A633" t="s">
        <v>3871</v>
      </c>
      <c r="B633" s="915" t="s">
        <v>3854</v>
      </c>
      <c r="C633" s="915" t="str">
        <f t="shared" si="9"/>
        <v>12월</v>
      </c>
      <c r="D633" s="916" t="s">
        <v>3855</v>
      </c>
      <c r="E633" s="916"/>
      <c r="F633" s="916" t="s">
        <v>3610</v>
      </c>
      <c r="G633" s="915"/>
      <c r="H633" s="917">
        <v>12000</v>
      </c>
      <c r="I633" s="918"/>
      <c r="J633" s="917">
        <v>715811</v>
      </c>
    </row>
    <row r="634" spans="1:10">
      <c r="A634" t="s">
        <v>3870</v>
      </c>
      <c r="B634" s="915" t="s">
        <v>3608</v>
      </c>
      <c r="C634" s="915" t="str">
        <f t="shared" si="9"/>
        <v>6월</v>
      </c>
      <c r="D634" s="916" t="s">
        <v>3609</v>
      </c>
      <c r="E634" s="916"/>
      <c r="F634" s="916" t="s">
        <v>3611</v>
      </c>
      <c r="G634" s="915"/>
      <c r="H634" s="917">
        <v>11900</v>
      </c>
      <c r="I634" s="918"/>
      <c r="J634" s="918"/>
    </row>
    <row r="635" spans="1:10">
      <c r="A635" t="s">
        <v>3871</v>
      </c>
      <c r="B635" s="915" t="s">
        <v>3635</v>
      </c>
      <c r="C635" s="915" t="str">
        <f t="shared" si="9"/>
        <v>1월</v>
      </c>
      <c r="D635" s="916" t="s">
        <v>3636</v>
      </c>
      <c r="E635" s="916"/>
      <c r="F635" s="916" t="s">
        <v>3638</v>
      </c>
      <c r="G635" s="915"/>
      <c r="H635" s="917">
        <v>11800</v>
      </c>
      <c r="I635" s="918"/>
      <c r="J635" s="918"/>
    </row>
    <row r="636" spans="1:10">
      <c r="A636" t="s">
        <v>3871</v>
      </c>
      <c r="B636" s="915" t="s">
        <v>3763</v>
      </c>
      <c r="C636" s="915" t="str">
        <f t="shared" si="9"/>
        <v>7월</v>
      </c>
      <c r="D636" s="916" t="s">
        <v>3660</v>
      </c>
      <c r="E636" s="916"/>
      <c r="F636" s="916" t="s">
        <v>3733</v>
      </c>
      <c r="G636" s="915"/>
      <c r="H636" s="917">
        <v>11600</v>
      </c>
      <c r="I636" s="918"/>
      <c r="J636" s="918"/>
    </row>
    <row r="637" spans="1:10">
      <c r="A637" t="s">
        <v>4597</v>
      </c>
      <c r="B637" s="915" t="s">
        <v>4205</v>
      </c>
      <c r="C637" s="915" t="str">
        <f t="shared" si="9"/>
        <v>8월</v>
      </c>
      <c r="D637" s="916" t="s">
        <v>4416</v>
      </c>
      <c r="E637" s="916" t="s">
        <v>4438</v>
      </c>
      <c r="F637" s="916" t="s">
        <v>4439</v>
      </c>
      <c r="G637" s="915"/>
      <c r="H637" s="917">
        <v>11533</v>
      </c>
      <c r="I637" s="918"/>
      <c r="J637" s="917">
        <v>18091061</v>
      </c>
    </row>
    <row r="638" spans="1:10">
      <c r="A638" t="s">
        <v>3921</v>
      </c>
      <c r="B638" s="915" t="s">
        <v>3912</v>
      </c>
      <c r="C638" s="915" t="str">
        <f t="shared" si="9"/>
        <v>10월</v>
      </c>
      <c r="D638" s="916" t="s">
        <v>3913</v>
      </c>
      <c r="E638" s="916"/>
      <c r="F638" s="916" t="s">
        <v>3916</v>
      </c>
      <c r="G638" s="915"/>
      <c r="H638" s="917">
        <v>11339</v>
      </c>
      <c r="I638" s="918"/>
      <c r="J638" s="918"/>
    </row>
    <row r="639" spans="1:10">
      <c r="A639" t="s">
        <v>4064</v>
      </c>
      <c r="B639" s="915" t="s">
        <v>3754</v>
      </c>
      <c r="C639" s="915" t="str">
        <f t="shared" si="9"/>
        <v>6월</v>
      </c>
      <c r="D639" s="916" t="s">
        <v>4042</v>
      </c>
      <c r="E639" s="916"/>
      <c r="F639" s="916" t="s">
        <v>4047</v>
      </c>
      <c r="G639" s="915"/>
      <c r="H639" s="917">
        <v>11200</v>
      </c>
      <c r="I639" s="918"/>
      <c r="J639" s="918"/>
    </row>
    <row r="640" spans="1:10">
      <c r="A640" t="s">
        <v>4110</v>
      </c>
      <c r="B640" s="915" t="s">
        <v>3739</v>
      </c>
      <c r="C640" s="915" t="str">
        <f t="shared" si="9"/>
        <v>5월</v>
      </c>
      <c r="D640" s="916" t="s">
        <v>3740</v>
      </c>
      <c r="E640" s="916"/>
      <c r="F640" s="916" t="s">
        <v>3733</v>
      </c>
      <c r="G640" s="915"/>
      <c r="H640" s="917">
        <v>11200</v>
      </c>
      <c r="I640" s="918"/>
      <c r="J640" s="918"/>
    </row>
    <row r="641" spans="1:10">
      <c r="A641" t="s">
        <v>3871</v>
      </c>
      <c r="B641" s="915" t="s">
        <v>3864</v>
      </c>
      <c r="C641" s="915" t="str">
        <f t="shared" si="9"/>
        <v>12월</v>
      </c>
      <c r="D641" s="916" t="s">
        <v>3660</v>
      </c>
      <c r="E641" s="916"/>
      <c r="F641" s="916" t="s">
        <v>3733</v>
      </c>
      <c r="G641" s="915"/>
      <c r="H641" s="917">
        <v>11200</v>
      </c>
      <c r="I641" s="918"/>
      <c r="J641" s="917">
        <v>953511</v>
      </c>
    </row>
    <row r="642" spans="1:10">
      <c r="A642" t="s">
        <v>3871</v>
      </c>
      <c r="B642" s="915" t="s">
        <v>3757</v>
      </c>
      <c r="C642" s="915" t="str">
        <f t="shared" ref="C642:C705" si="10">MONTH(B642)&amp;"월"</f>
        <v>7월</v>
      </c>
      <c r="D642" s="916" t="s">
        <v>3740</v>
      </c>
      <c r="E642" s="916"/>
      <c r="F642" s="916" t="s">
        <v>3758</v>
      </c>
      <c r="G642" s="915"/>
      <c r="H642" s="917">
        <v>11100</v>
      </c>
      <c r="I642" s="918"/>
      <c r="J642" s="918"/>
    </row>
    <row r="643" spans="1:10">
      <c r="A643" t="s">
        <v>3871</v>
      </c>
      <c r="B643" s="915" t="s">
        <v>3767</v>
      </c>
      <c r="C643" s="915" t="str">
        <f t="shared" si="10"/>
        <v>7월</v>
      </c>
      <c r="D643" s="916" t="s">
        <v>3633</v>
      </c>
      <c r="E643" s="916"/>
      <c r="F643" s="916" t="s">
        <v>3768</v>
      </c>
      <c r="G643" s="915"/>
      <c r="H643" s="917">
        <v>11050</v>
      </c>
      <c r="I643" s="918"/>
      <c r="J643" s="918"/>
    </row>
    <row r="644" spans="1:10">
      <c r="A644" t="s">
        <v>4597</v>
      </c>
      <c r="B644" s="915" t="s">
        <v>3596</v>
      </c>
      <c r="C644" s="915" t="str">
        <f t="shared" si="10"/>
        <v>2월</v>
      </c>
      <c r="D644" s="916" t="s">
        <v>4402</v>
      </c>
      <c r="E644" s="916" t="s">
        <v>4390</v>
      </c>
      <c r="F644" s="916" t="s">
        <v>4391</v>
      </c>
      <c r="G644" s="915" t="s">
        <v>4392</v>
      </c>
      <c r="H644" s="917">
        <v>11000</v>
      </c>
      <c r="I644" s="918"/>
      <c r="J644" s="917">
        <v>561289</v>
      </c>
    </row>
    <row r="645" spans="1:10">
      <c r="A645" t="s">
        <v>3871</v>
      </c>
      <c r="B645" s="915" t="s">
        <v>3601</v>
      </c>
      <c r="C645" s="915" t="str">
        <f t="shared" si="10"/>
        <v>2월</v>
      </c>
      <c r="D645" s="916" t="s">
        <v>3660</v>
      </c>
      <c r="E645" s="916"/>
      <c r="F645" s="916" t="s">
        <v>3666</v>
      </c>
      <c r="G645" s="915"/>
      <c r="H645" s="917">
        <v>11000</v>
      </c>
      <c r="I645" s="918"/>
      <c r="J645" s="917">
        <v>765110</v>
      </c>
    </row>
    <row r="646" spans="1:10">
      <c r="A646" t="s">
        <v>3871</v>
      </c>
      <c r="B646" s="915" t="s">
        <v>3680</v>
      </c>
      <c r="C646" s="915" t="str">
        <f t="shared" si="10"/>
        <v>2월</v>
      </c>
      <c r="D646" s="916" t="s">
        <v>3681</v>
      </c>
      <c r="E646" s="916"/>
      <c r="F646" s="916" t="s">
        <v>3684</v>
      </c>
      <c r="G646" s="915"/>
      <c r="H646" s="917">
        <v>11000</v>
      </c>
      <c r="I646" s="918"/>
      <c r="J646" s="917">
        <v>1035410</v>
      </c>
    </row>
    <row r="647" spans="1:10">
      <c r="A647" t="s">
        <v>3871</v>
      </c>
      <c r="B647" s="915" t="s">
        <v>3779</v>
      </c>
      <c r="C647" s="915" t="str">
        <f t="shared" si="10"/>
        <v>8월</v>
      </c>
      <c r="D647" s="916" t="s">
        <v>3660</v>
      </c>
      <c r="E647" s="916"/>
      <c r="F647" s="916" t="s">
        <v>3733</v>
      </c>
      <c r="G647" s="915"/>
      <c r="H647" s="917">
        <v>11000</v>
      </c>
      <c r="I647" s="918"/>
      <c r="J647" s="918"/>
    </row>
    <row r="648" spans="1:10">
      <c r="A648" t="s">
        <v>4110</v>
      </c>
      <c r="B648" s="915" t="s">
        <v>4082</v>
      </c>
      <c r="C648" s="915" t="str">
        <f t="shared" si="10"/>
        <v>4월</v>
      </c>
      <c r="D648" s="916" t="s">
        <v>3808</v>
      </c>
      <c r="E648" s="916"/>
      <c r="F648" s="916" t="s">
        <v>4083</v>
      </c>
      <c r="G648" s="915"/>
      <c r="H648" s="917">
        <v>11000</v>
      </c>
      <c r="I648" s="918"/>
      <c r="J648" s="918"/>
    </row>
    <row r="649" spans="1:10">
      <c r="A649" t="s">
        <v>4629</v>
      </c>
      <c r="B649" s="915" t="s">
        <v>4499</v>
      </c>
      <c r="C649" s="915" t="str">
        <f t="shared" si="10"/>
        <v>7월</v>
      </c>
      <c r="D649" s="916" t="s">
        <v>4615</v>
      </c>
      <c r="E649" s="916" t="s">
        <v>4602</v>
      </c>
      <c r="F649" s="916" t="s">
        <v>4603</v>
      </c>
      <c r="G649" s="915" t="s">
        <v>4604</v>
      </c>
      <c r="H649" s="917">
        <v>11000</v>
      </c>
      <c r="I649" s="918"/>
      <c r="J649" s="917">
        <v>411800</v>
      </c>
    </row>
    <row r="650" spans="1:10">
      <c r="A650" t="s">
        <v>3871</v>
      </c>
      <c r="B650" s="915" t="s">
        <v>3807</v>
      </c>
      <c r="C650" s="915" t="str">
        <f t="shared" si="10"/>
        <v>10월</v>
      </c>
      <c r="D650" s="916" t="s">
        <v>3703</v>
      </c>
      <c r="E650" s="916"/>
      <c r="F650" s="916" t="s">
        <v>3810</v>
      </c>
      <c r="G650" s="915"/>
      <c r="H650" s="917">
        <v>10800</v>
      </c>
      <c r="I650" s="918"/>
      <c r="J650" s="917">
        <v>1750281</v>
      </c>
    </row>
    <row r="651" spans="1:10">
      <c r="A651" t="s">
        <v>4010</v>
      </c>
      <c r="B651" s="915" t="s">
        <v>3949</v>
      </c>
      <c r="C651" s="915" t="str">
        <f t="shared" si="10"/>
        <v>4월</v>
      </c>
      <c r="D651" s="916" t="s">
        <v>3950</v>
      </c>
      <c r="E651" s="916" t="s">
        <v>3951</v>
      </c>
      <c r="F651" s="916" t="s">
        <v>3952</v>
      </c>
      <c r="G651" s="915" t="s">
        <v>3953</v>
      </c>
      <c r="H651" s="917">
        <v>10500</v>
      </c>
      <c r="I651" s="918"/>
      <c r="J651" s="917">
        <v>3027820</v>
      </c>
    </row>
    <row r="652" spans="1:10">
      <c r="A652" t="s">
        <v>4110</v>
      </c>
      <c r="B652" s="915" t="s">
        <v>4097</v>
      </c>
      <c r="C652" s="915" t="str">
        <f t="shared" si="10"/>
        <v>5월</v>
      </c>
      <c r="D652" s="916" t="s">
        <v>3808</v>
      </c>
      <c r="E652" s="916"/>
      <c r="F652" s="916" t="s">
        <v>3733</v>
      </c>
      <c r="G652" s="915"/>
      <c r="H652" s="917">
        <v>10500</v>
      </c>
      <c r="I652" s="918"/>
      <c r="J652" s="918"/>
    </row>
    <row r="653" spans="1:10">
      <c r="A653" t="s">
        <v>4110</v>
      </c>
      <c r="B653" s="915" t="s">
        <v>3739</v>
      </c>
      <c r="C653" s="915" t="str">
        <f t="shared" si="10"/>
        <v>5월</v>
      </c>
      <c r="D653" s="916" t="s">
        <v>3740</v>
      </c>
      <c r="E653" s="916"/>
      <c r="F653" s="916" t="s">
        <v>4103</v>
      </c>
      <c r="G653" s="915"/>
      <c r="H653" s="917">
        <v>10500</v>
      </c>
      <c r="I653" s="918"/>
      <c r="J653" s="918"/>
    </row>
    <row r="654" spans="1:10">
      <c r="A654" t="s">
        <v>3871</v>
      </c>
      <c r="B654" s="915" t="s">
        <v>3616</v>
      </c>
      <c r="C654" s="915" t="str">
        <f t="shared" si="10"/>
        <v>9월</v>
      </c>
      <c r="D654" s="916" t="s">
        <v>3641</v>
      </c>
      <c r="E654" s="916"/>
      <c r="F654" s="916" t="s">
        <v>3610</v>
      </c>
      <c r="G654" s="915"/>
      <c r="H654" s="917">
        <v>10500</v>
      </c>
      <c r="I654" s="918"/>
      <c r="J654" s="917">
        <v>1676381</v>
      </c>
    </row>
    <row r="655" spans="1:10">
      <c r="A655" t="s">
        <v>3871</v>
      </c>
      <c r="B655" s="915" t="s">
        <v>3601</v>
      </c>
      <c r="C655" s="915" t="str">
        <f t="shared" si="10"/>
        <v>2월</v>
      </c>
      <c r="D655" s="916" t="s">
        <v>3660</v>
      </c>
      <c r="E655" s="916"/>
      <c r="F655" s="916" t="s">
        <v>3665</v>
      </c>
      <c r="G655" s="915"/>
      <c r="H655" s="917">
        <v>10400</v>
      </c>
      <c r="I655" s="918"/>
      <c r="J655" s="918"/>
    </row>
    <row r="656" spans="1:10">
      <c r="A656" t="s">
        <v>4597</v>
      </c>
      <c r="B656" s="915" t="s">
        <v>3878</v>
      </c>
      <c r="C656" s="915" t="str">
        <f t="shared" si="10"/>
        <v>3월</v>
      </c>
      <c r="D656" s="916" t="s">
        <v>4435</v>
      </c>
      <c r="E656" s="916"/>
      <c r="F656" s="916" t="s">
        <v>4386</v>
      </c>
      <c r="G656" s="915"/>
      <c r="H656" s="917">
        <v>10000</v>
      </c>
      <c r="I656" s="918"/>
      <c r="J656" s="918"/>
    </row>
    <row r="657" spans="1:10">
      <c r="A657" t="s">
        <v>3871</v>
      </c>
      <c r="B657" s="915" t="s">
        <v>3788</v>
      </c>
      <c r="C657" s="915" t="str">
        <f t="shared" si="10"/>
        <v>9월</v>
      </c>
      <c r="D657" s="916" t="s">
        <v>3789</v>
      </c>
      <c r="E657" s="916"/>
      <c r="F657" s="916" t="s">
        <v>3790</v>
      </c>
      <c r="G657" s="915"/>
      <c r="H657" s="917">
        <v>10000</v>
      </c>
      <c r="I657" s="918"/>
      <c r="J657" s="918"/>
    </row>
    <row r="658" spans="1:10">
      <c r="A658" t="s">
        <v>3870</v>
      </c>
      <c r="B658" s="915" t="s">
        <v>3604</v>
      </c>
      <c r="C658" s="915" t="str">
        <f t="shared" si="10"/>
        <v>2월</v>
      </c>
      <c r="D658" s="916" t="s">
        <v>3607</v>
      </c>
      <c r="E658" s="916"/>
      <c r="F658" s="916" t="s">
        <v>3600</v>
      </c>
      <c r="G658" s="915"/>
      <c r="H658" s="917">
        <v>10000</v>
      </c>
      <c r="I658" s="918"/>
      <c r="J658" s="917">
        <v>382130</v>
      </c>
    </row>
    <row r="659" spans="1:10">
      <c r="A659" t="s">
        <v>3870</v>
      </c>
      <c r="B659" s="915" t="s">
        <v>3608</v>
      </c>
      <c r="C659" s="915" t="str">
        <f t="shared" si="10"/>
        <v>6월</v>
      </c>
      <c r="D659" s="916" t="s">
        <v>3609</v>
      </c>
      <c r="E659" s="916"/>
      <c r="F659" s="916" t="s">
        <v>3612</v>
      </c>
      <c r="G659" s="915"/>
      <c r="H659" s="917">
        <v>10000</v>
      </c>
      <c r="I659" s="918"/>
      <c r="J659" s="917">
        <v>455830</v>
      </c>
    </row>
    <row r="660" spans="1:10">
      <c r="A660" t="s">
        <v>3921</v>
      </c>
      <c r="B660" s="915" t="s">
        <v>3912</v>
      </c>
      <c r="C660" s="915" t="str">
        <f t="shared" si="10"/>
        <v>10월</v>
      </c>
      <c r="D660" s="916" t="s">
        <v>3913</v>
      </c>
      <c r="E660" s="916"/>
      <c r="F660" s="916" t="s">
        <v>3919</v>
      </c>
      <c r="G660" s="915"/>
      <c r="H660" s="917">
        <v>10000</v>
      </c>
      <c r="I660" s="918"/>
      <c r="J660" s="918"/>
    </row>
    <row r="661" spans="1:10">
      <c r="A661" t="s">
        <v>4064</v>
      </c>
      <c r="B661" s="915" t="s">
        <v>4025</v>
      </c>
      <c r="C661" s="915" t="str">
        <f t="shared" si="10"/>
        <v>5월</v>
      </c>
      <c r="D661" s="916" t="s">
        <v>4028</v>
      </c>
      <c r="E661" s="916"/>
      <c r="F661" s="916" t="s">
        <v>4029</v>
      </c>
      <c r="G661" s="915"/>
      <c r="H661" s="917">
        <v>10000</v>
      </c>
      <c r="I661" s="918"/>
      <c r="J661" s="917">
        <v>-29295</v>
      </c>
    </row>
    <row r="662" spans="1:10">
      <c r="A662" t="s">
        <v>4110</v>
      </c>
      <c r="B662" s="915" t="s">
        <v>3687</v>
      </c>
      <c r="C662" s="915" t="str">
        <f t="shared" si="10"/>
        <v>2월</v>
      </c>
      <c r="D662" s="916" t="s">
        <v>3808</v>
      </c>
      <c r="E662" s="916"/>
      <c r="F662" s="916" t="s">
        <v>3612</v>
      </c>
      <c r="G662" s="915"/>
      <c r="H662" s="917">
        <v>10000</v>
      </c>
      <c r="I662" s="918"/>
      <c r="J662" s="918"/>
    </row>
    <row r="663" spans="1:10">
      <c r="A663" t="s">
        <v>4110</v>
      </c>
      <c r="B663" s="915" t="s">
        <v>3687</v>
      </c>
      <c r="C663" s="915" t="str">
        <f t="shared" si="10"/>
        <v>2월</v>
      </c>
      <c r="D663" s="916" t="s">
        <v>3808</v>
      </c>
      <c r="E663" s="916"/>
      <c r="F663" s="916" t="s">
        <v>3612</v>
      </c>
      <c r="G663" s="915"/>
      <c r="H663" s="917">
        <v>10000</v>
      </c>
      <c r="I663" s="918"/>
      <c r="J663" s="918"/>
    </row>
    <row r="664" spans="1:10">
      <c r="A664" t="s">
        <v>4110</v>
      </c>
      <c r="B664" s="915" t="s">
        <v>3687</v>
      </c>
      <c r="C664" s="915" t="str">
        <f t="shared" si="10"/>
        <v>2월</v>
      </c>
      <c r="D664" s="916" t="s">
        <v>3808</v>
      </c>
      <c r="E664" s="916"/>
      <c r="F664" s="916" t="s">
        <v>4074</v>
      </c>
      <c r="G664" s="915"/>
      <c r="H664" s="917">
        <v>10000</v>
      </c>
      <c r="I664" s="918"/>
      <c r="J664" s="918"/>
    </row>
    <row r="665" spans="1:10">
      <c r="A665" t="s">
        <v>4110</v>
      </c>
      <c r="B665" s="915" t="s">
        <v>3687</v>
      </c>
      <c r="C665" s="915" t="str">
        <f t="shared" si="10"/>
        <v>2월</v>
      </c>
      <c r="D665" s="916" t="s">
        <v>3808</v>
      </c>
      <c r="E665" s="916"/>
      <c r="F665" s="916" t="s">
        <v>4074</v>
      </c>
      <c r="G665" s="915"/>
      <c r="H665" s="917">
        <v>10000</v>
      </c>
      <c r="I665" s="918"/>
      <c r="J665" s="918"/>
    </row>
    <row r="666" spans="1:10">
      <c r="A666" t="s">
        <v>4362</v>
      </c>
      <c r="B666" s="915" t="s">
        <v>3635</v>
      </c>
      <c r="C666" s="915" t="str">
        <f t="shared" si="10"/>
        <v>1월</v>
      </c>
      <c r="D666" s="916" t="s">
        <v>4298</v>
      </c>
      <c r="E666" s="916"/>
      <c r="F666" s="916" t="s">
        <v>4299</v>
      </c>
      <c r="G666" s="915"/>
      <c r="H666" s="917">
        <v>10000</v>
      </c>
      <c r="I666" s="918"/>
      <c r="J666" s="917">
        <v>73000</v>
      </c>
    </row>
    <row r="667" spans="1:10">
      <c r="A667" t="s">
        <v>4362</v>
      </c>
      <c r="B667" s="915" t="s">
        <v>4133</v>
      </c>
      <c r="C667" s="915" t="str">
        <f t="shared" si="10"/>
        <v>3월</v>
      </c>
      <c r="D667" s="916" t="s">
        <v>4315</v>
      </c>
      <c r="E667" s="916"/>
      <c r="F667" s="916" t="s">
        <v>4316</v>
      </c>
      <c r="G667" s="915"/>
      <c r="H667" s="917">
        <v>10000</v>
      </c>
      <c r="I667" s="918"/>
      <c r="J667" s="917">
        <v>210890</v>
      </c>
    </row>
    <row r="668" spans="1:10">
      <c r="A668" t="s">
        <v>4362</v>
      </c>
      <c r="B668" s="915" t="s">
        <v>4017</v>
      </c>
      <c r="C668" s="915" t="str">
        <f t="shared" si="10"/>
        <v>3월</v>
      </c>
      <c r="D668" s="916" t="s">
        <v>4317</v>
      </c>
      <c r="E668" s="916"/>
      <c r="F668" s="916" t="s">
        <v>4318</v>
      </c>
      <c r="G668" s="915"/>
      <c r="H668" s="917">
        <v>10000</v>
      </c>
      <c r="I668" s="918"/>
      <c r="J668" s="917">
        <v>220890</v>
      </c>
    </row>
    <row r="669" spans="1:10">
      <c r="A669" t="s">
        <v>4362</v>
      </c>
      <c r="B669" s="915" t="s">
        <v>3693</v>
      </c>
      <c r="C669" s="915" t="str">
        <f t="shared" si="10"/>
        <v>3월</v>
      </c>
      <c r="D669" s="916" t="s">
        <v>4319</v>
      </c>
      <c r="E669" s="916"/>
      <c r="F669" s="916" t="s">
        <v>4320</v>
      </c>
      <c r="G669" s="915"/>
      <c r="H669" s="917">
        <v>10000</v>
      </c>
      <c r="I669" s="918"/>
      <c r="J669" s="917">
        <v>230890</v>
      </c>
    </row>
    <row r="670" spans="1:10">
      <c r="A670" t="s">
        <v>4362</v>
      </c>
      <c r="B670" s="915" t="s">
        <v>3700</v>
      </c>
      <c r="C670" s="915" t="str">
        <f t="shared" si="10"/>
        <v>3월</v>
      </c>
      <c r="D670" s="916" t="s">
        <v>4327</v>
      </c>
      <c r="E670" s="916"/>
      <c r="F670" s="916" t="s">
        <v>4328</v>
      </c>
      <c r="G670" s="915"/>
      <c r="H670" s="917">
        <v>10000</v>
      </c>
      <c r="I670" s="918"/>
      <c r="J670" s="917">
        <v>269890</v>
      </c>
    </row>
    <row r="671" spans="1:10">
      <c r="A671" t="s">
        <v>4362</v>
      </c>
      <c r="B671" s="915" t="s">
        <v>3757</v>
      </c>
      <c r="C671" s="915" t="str">
        <f t="shared" si="10"/>
        <v>7월</v>
      </c>
      <c r="D671" s="916" t="s">
        <v>4339</v>
      </c>
      <c r="E671" s="916"/>
      <c r="F671" s="916" t="s">
        <v>4311</v>
      </c>
      <c r="G671" s="915"/>
      <c r="H671" s="917">
        <v>10000</v>
      </c>
      <c r="I671" s="918"/>
      <c r="J671" s="917">
        <v>382350</v>
      </c>
    </row>
    <row r="672" spans="1:10">
      <c r="A672" t="s">
        <v>4362</v>
      </c>
      <c r="B672" s="915" t="s">
        <v>3616</v>
      </c>
      <c r="C672" s="915" t="str">
        <f t="shared" si="10"/>
        <v>9월</v>
      </c>
      <c r="D672" s="916" t="s">
        <v>4340</v>
      </c>
      <c r="E672" s="916"/>
      <c r="F672" s="916" t="s">
        <v>4348</v>
      </c>
      <c r="G672" s="915"/>
      <c r="H672" s="917">
        <v>10000</v>
      </c>
      <c r="I672" s="918"/>
      <c r="J672" s="917">
        <v>422120</v>
      </c>
    </row>
    <row r="673" spans="1:10">
      <c r="A673" t="s">
        <v>4362</v>
      </c>
      <c r="B673" s="915" t="s">
        <v>3854</v>
      </c>
      <c r="C673" s="915" t="str">
        <f t="shared" si="10"/>
        <v>12월</v>
      </c>
      <c r="D673" s="916" t="s">
        <v>4356</v>
      </c>
      <c r="E673" s="916"/>
      <c r="F673" s="916" t="s">
        <v>4357</v>
      </c>
      <c r="G673" s="915"/>
      <c r="H673" s="917">
        <v>10000</v>
      </c>
      <c r="I673" s="918"/>
      <c r="J673" s="917">
        <v>554410</v>
      </c>
    </row>
    <row r="674" spans="1:10">
      <c r="A674" t="s">
        <v>3871</v>
      </c>
      <c r="B674" s="915" t="s">
        <v>3811</v>
      </c>
      <c r="C674" s="915" t="str">
        <f t="shared" si="10"/>
        <v>10월</v>
      </c>
      <c r="D674" s="916" t="s">
        <v>3812</v>
      </c>
      <c r="E674" s="916"/>
      <c r="F674" s="916" t="s">
        <v>3814</v>
      </c>
      <c r="G674" s="915"/>
      <c r="H674" s="917">
        <v>10000</v>
      </c>
      <c r="I674" s="918"/>
      <c r="J674" s="917">
        <v>1772281</v>
      </c>
    </row>
    <row r="675" spans="1:10">
      <c r="A675" t="s">
        <v>3871</v>
      </c>
      <c r="B675" s="915" t="s">
        <v>3815</v>
      </c>
      <c r="C675" s="915" t="str">
        <f t="shared" si="10"/>
        <v>10월</v>
      </c>
      <c r="D675" s="916" t="s">
        <v>3660</v>
      </c>
      <c r="E675" s="916"/>
      <c r="F675" s="916" t="s">
        <v>3816</v>
      </c>
      <c r="G675" s="915"/>
      <c r="H675" s="917">
        <v>10000</v>
      </c>
      <c r="I675" s="918"/>
      <c r="J675" s="917">
        <v>1782281</v>
      </c>
    </row>
    <row r="676" spans="1:10">
      <c r="A676" t="s">
        <v>4597</v>
      </c>
      <c r="B676" s="915" t="s">
        <v>3901</v>
      </c>
      <c r="C676" s="915" t="str">
        <f t="shared" si="10"/>
        <v>11월</v>
      </c>
      <c r="D676" s="916" t="s">
        <v>4571</v>
      </c>
      <c r="E676" s="916"/>
      <c r="F676" s="916" t="s">
        <v>4572</v>
      </c>
      <c r="G676" s="915"/>
      <c r="H676" s="917">
        <v>10000</v>
      </c>
      <c r="I676" s="918"/>
      <c r="J676" s="918"/>
    </row>
    <row r="677" spans="1:10">
      <c r="A677" t="s">
        <v>4765</v>
      </c>
      <c r="B677" s="915" t="s">
        <v>3616</v>
      </c>
      <c r="C677" s="915" t="str">
        <f t="shared" si="10"/>
        <v>9월</v>
      </c>
      <c r="D677" s="916" t="s">
        <v>4735</v>
      </c>
      <c r="E677" s="916"/>
      <c r="F677" s="916" t="s">
        <v>4736</v>
      </c>
      <c r="G677" s="915"/>
      <c r="H677" s="917">
        <v>10000</v>
      </c>
      <c r="I677" s="918"/>
      <c r="J677" s="917">
        <v>17634580</v>
      </c>
    </row>
    <row r="678" spans="1:10">
      <c r="A678" t="s">
        <v>4010</v>
      </c>
      <c r="B678" s="915" t="s">
        <v>3696</v>
      </c>
      <c r="C678" s="915" t="str">
        <f t="shared" si="10"/>
        <v>3월</v>
      </c>
      <c r="D678" s="916" t="s">
        <v>3943</v>
      </c>
      <c r="E678" s="916"/>
      <c r="F678" s="916" t="s">
        <v>3942</v>
      </c>
      <c r="G678" s="915"/>
      <c r="H678" s="917">
        <v>9700</v>
      </c>
      <c r="I678" s="918"/>
      <c r="J678" s="917">
        <v>3880860</v>
      </c>
    </row>
    <row r="679" spans="1:10">
      <c r="A679" t="s">
        <v>4110</v>
      </c>
      <c r="B679" s="915" t="s">
        <v>4097</v>
      </c>
      <c r="C679" s="915" t="str">
        <f t="shared" si="10"/>
        <v>5월</v>
      </c>
      <c r="D679" s="916" t="s">
        <v>3808</v>
      </c>
      <c r="E679" s="916"/>
      <c r="F679" s="916" t="s">
        <v>4098</v>
      </c>
      <c r="G679" s="915"/>
      <c r="H679" s="917">
        <v>9700</v>
      </c>
      <c r="I679" s="918"/>
      <c r="J679" s="918"/>
    </row>
    <row r="680" spans="1:10">
      <c r="A680" t="s">
        <v>4110</v>
      </c>
      <c r="B680" s="915" t="s">
        <v>3757</v>
      </c>
      <c r="C680" s="915" t="str">
        <f t="shared" si="10"/>
        <v>7월</v>
      </c>
      <c r="D680" s="916" t="s">
        <v>3740</v>
      </c>
      <c r="E680" s="916"/>
      <c r="F680" s="916" t="s">
        <v>4107</v>
      </c>
      <c r="G680" s="915"/>
      <c r="H680" s="917">
        <v>9700</v>
      </c>
      <c r="I680" s="918"/>
      <c r="J680" s="918"/>
    </row>
    <row r="681" spans="1:10">
      <c r="A681" t="s">
        <v>3871</v>
      </c>
      <c r="B681" s="915" t="s">
        <v>3829</v>
      </c>
      <c r="C681" s="915" t="str">
        <f t="shared" si="10"/>
        <v>11월</v>
      </c>
      <c r="D681" s="916" t="s">
        <v>3660</v>
      </c>
      <c r="E681" s="916"/>
      <c r="F681" s="916" t="s">
        <v>3733</v>
      </c>
      <c r="G681" s="915"/>
      <c r="H681" s="917">
        <v>9500</v>
      </c>
      <c r="I681" s="918"/>
      <c r="J681" s="918"/>
    </row>
    <row r="682" spans="1:10">
      <c r="A682" t="s">
        <v>4597</v>
      </c>
      <c r="B682" s="915" t="s">
        <v>4503</v>
      </c>
      <c r="C682" s="915" t="str">
        <f t="shared" si="10"/>
        <v>7월</v>
      </c>
      <c r="D682" s="916" t="s">
        <v>4394</v>
      </c>
      <c r="E682" s="916" t="s">
        <v>4369</v>
      </c>
      <c r="F682" s="916" t="s">
        <v>4370</v>
      </c>
      <c r="G682" s="915"/>
      <c r="H682" s="917">
        <v>9460</v>
      </c>
      <c r="I682" s="918"/>
      <c r="J682" s="917">
        <v>16396840</v>
      </c>
    </row>
    <row r="683" spans="1:10">
      <c r="A683" t="s">
        <v>3871</v>
      </c>
      <c r="B683" s="915" t="s">
        <v>3835</v>
      </c>
      <c r="C683" s="915" t="str">
        <f t="shared" si="10"/>
        <v>11월</v>
      </c>
      <c r="D683" s="916" t="s">
        <v>3660</v>
      </c>
      <c r="E683" s="916"/>
      <c r="F683" s="916" t="s">
        <v>3610</v>
      </c>
      <c r="G683" s="915"/>
      <c r="H683" s="917">
        <v>9300</v>
      </c>
      <c r="I683" s="918"/>
      <c r="J683" s="918"/>
    </row>
    <row r="684" spans="1:10">
      <c r="A684" t="s">
        <v>3871</v>
      </c>
      <c r="B684" s="915" t="s">
        <v>3829</v>
      </c>
      <c r="C684" s="915" t="str">
        <f t="shared" si="10"/>
        <v>11월</v>
      </c>
      <c r="D684" s="916" t="s">
        <v>3660</v>
      </c>
      <c r="E684" s="916"/>
      <c r="F684" s="916" t="s">
        <v>3831</v>
      </c>
      <c r="G684" s="915"/>
      <c r="H684" s="917">
        <v>9100</v>
      </c>
      <c r="I684" s="918"/>
      <c r="J684" s="918"/>
    </row>
    <row r="685" spans="1:10">
      <c r="A685" t="s">
        <v>4110</v>
      </c>
      <c r="B685" s="915" t="s">
        <v>3720</v>
      </c>
      <c r="C685" s="915" t="str">
        <f t="shared" si="10"/>
        <v>4월</v>
      </c>
      <c r="D685" s="916" t="s">
        <v>3808</v>
      </c>
      <c r="E685" s="916"/>
      <c r="F685" s="916" t="s">
        <v>4090</v>
      </c>
      <c r="G685" s="915"/>
      <c r="H685" s="917">
        <v>9000</v>
      </c>
      <c r="I685" s="918"/>
      <c r="J685" s="918"/>
    </row>
    <row r="686" spans="1:10">
      <c r="A686" t="s">
        <v>4362</v>
      </c>
      <c r="B686" s="915" t="s">
        <v>3763</v>
      </c>
      <c r="C686" s="915" t="str">
        <f t="shared" si="10"/>
        <v>7월</v>
      </c>
      <c r="D686" s="916" t="s">
        <v>4340</v>
      </c>
      <c r="E686" s="916"/>
      <c r="F686" s="916" t="s">
        <v>4341</v>
      </c>
      <c r="G686" s="915"/>
      <c r="H686" s="917">
        <v>9000</v>
      </c>
      <c r="I686" s="918"/>
      <c r="J686" s="917">
        <v>391350</v>
      </c>
    </row>
    <row r="687" spans="1:10">
      <c r="A687" t="s">
        <v>4650</v>
      </c>
      <c r="B687" s="915" t="s">
        <v>3901</v>
      </c>
      <c r="C687" s="915" t="str">
        <f t="shared" si="10"/>
        <v>11월</v>
      </c>
      <c r="D687" s="916" t="s">
        <v>4648</v>
      </c>
      <c r="E687" s="916"/>
      <c r="F687" s="916" t="s">
        <v>4617</v>
      </c>
      <c r="G687" s="915"/>
      <c r="H687" s="917">
        <v>9000</v>
      </c>
      <c r="I687" s="918"/>
      <c r="J687" s="917">
        <v>3400220</v>
      </c>
    </row>
    <row r="688" spans="1:10">
      <c r="A688" t="s">
        <v>3871</v>
      </c>
      <c r="B688" s="915" t="s">
        <v>3868</v>
      </c>
      <c r="C688" s="915" t="str">
        <f t="shared" si="10"/>
        <v>12월</v>
      </c>
      <c r="D688" s="916" t="s">
        <v>3660</v>
      </c>
      <c r="E688" s="916"/>
      <c r="F688" s="916" t="s">
        <v>3733</v>
      </c>
      <c r="G688" s="915"/>
      <c r="H688" s="917">
        <v>9000</v>
      </c>
      <c r="I688" s="918"/>
      <c r="J688" s="918"/>
    </row>
    <row r="689" spans="1:10">
      <c r="A689" t="s">
        <v>4597</v>
      </c>
      <c r="B689" s="915" t="s">
        <v>4334</v>
      </c>
      <c r="C689" s="915" t="str">
        <f t="shared" si="10"/>
        <v>5월</v>
      </c>
      <c r="D689" s="916" t="s">
        <v>4394</v>
      </c>
      <c r="E689" s="916" t="s">
        <v>4369</v>
      </c>
      <c r="F689" s="916" t="s">
        <v>4370</v>
      </c>
      <c r="G689" s="915"/>
      <c r="H689" s="917">
        <v>8990</v>
      </c>
      <c r="I689" s="918"/>
      <c r="J689" s="918"/>
    </row>
    <row r="690" spans="1:10">
      <c r="A690" t="s">
        <v>3871</v>
      </c>
      <c r="B690" s="915" t="s">
        <v>3863</v>
      </c>
      <c r="C690" s="915" t="str">
        <f t="shared" si="10"/>
        <v>12월</v>
      </c>
      <c r="D690" s="916" t="s">
        <v>3660</v>
      </c>
      <c r="E690" s="916"/>
      <c r="F690" s="916" t="s">
        <v>3831</v>
      </c>
      <c r="G690" s="915"/>
      <c r="H690" s="917">
        <v>8900</v>
      </c>
      <c r="I690" s="918"/>
      <c r="J690" s="917">
        <v>890811</v>
      </c>
    </row>
    <row r="691" spans="1:10">
      <c r="A691" t="s">
        <v>3871</v>
      </c>
      <c r="B691" s="915" t="s">
        <v>3687</v>
      </c>
      <c r="C691" s="915" t="str">
        <f t="shared" si="10"/>
        <v>2월</v>
      </c>
      <c r="D691" s="916" t="s">
        <v>3660</v>
      </c>
      <c r="E691" s="916"/>
      <c r="F691" s="916" t="s">
        <v>3689</v>
      </c>
      <c r="G691" s="915"/>
      <c r="H691" s="917">
        <v>8800</v>
      </c>
      <c r="I691" s="918"/>
      <c r="J691" s="918"/>
    </row>
    <row r="692" spans="1:10">
      <c r="A692" t="s">
        <v>3871</v>
      </c>
      <c r="B692" s="915" t="s">
        <v>3788</v>
      </c>
      <c r="C692" s="915" t="str">
        <f t="shared" si="10"/>
        <v>9월</v>
      </c>
      <c r="D692" s="916" t="s">
        <v>3789</v>
      </c>
      <c r="E692" s="916"/>
      <c r="F692" s="916" t="s">
        <v>3792</v>
      </c>
      <c r="G692" s="915"/>
      <c r="H692" s="917">
        <v>8800</v>
      </c>
      <c r="I692" s="918"/>
      <c r="J692" s="918"/>
    </row>
    <row r="693" spans="1:10">
      <c r="A693" t="s">
        <v>4110</v>
      </c>
      <c r="B693" s="915" t="s">
        <v>3757</v>
      </c>
      <c r="C693" s="915" t="str">
        <f t="shared" si="10"/>
        <v>7월</v>
      </c>
      <c r="D693" s="916" t="s">
        <v>3740</v>
      </c>
      <c r="E693" s="916"/>
      <c r="F693" s="916" t="s">
        <v>3733</v>
      </c>
      <c r="G693" s="915"/>
      <c r="H693" s="917">
        <v>8800</v>
      </c>
      <c r="I693" s="918"/>
      <c r="J693" s="918"/>
    </row>
    <row r="694" spans="1:10">
      <c r="A694" t="s">
        <v>4629</v>
      </c>
      <c r="B694" s="915" t="s">
        <v>4069</v>
      </c>
      <c r="C694" s="915" t="str">
        <f t="shared" si="10"/>
        <v>2월</v>
      </c>
      <c r="D694" s="916" t="s">
        <v>4605</v>
      </c>
      <c r="E694" s="916" t="s">
        <v>4602</v>
      </c>
      <c r="F694" s="916" t="s">
        <v>4603</v>
      </c>
      <c r="G694" s="915" t="s">
        <v>4604</v>
      </c>
      <c r="H694" s="917">
        <v>8800</v>
      </c>
      <c r="I694" s="918"/>
      <c r="J694" s="917">
        <v>65200</v>
      </c>
    </row>
    <row r="695" spans="1:10">
      <c r="A695" t="s">
        <v>4629</v>
      </c>
      <c r="B695" s="915" t="s">
        <v>3757</v>
      </c>
      <c r="C695" s="915" t="str">
        <f t="shared" si="10"/>
        <v>7월</v>
      </c>
      <c r="D695" s="916" t="s">
        <v>4615</v>
      </c>
      <c r="E695" s="916" t="s">
        <v>4602</v>
      </c>
      <c r="F695" s="916" t="s">
        <v>4603</v>
      </c>
      <c r="G695" s="915" t="s">
        <v>4604</v>
      </c>
      <c r="H695" s="917">
        <v>8800</v>
      </c>
      <c r="I695" s="918"/>
      <c r="J695" s="918"/>
    </row>
    <row r="696" spans="1:10">
      <c r="A696" t="s">
        <v>4629</v>
      </c>
      <c r="B696" s="915" t="s">
        <v>3969</v>
      </c>
      <c r="C696" s="915" t="str">
        <f t="shared" si="10"/>
        <v>7월</v>
      </c>
      <c r="D696" s="916" t="s">
        <v>4619</v>
      </c>
      <c r="E696" s="916" t="s">
        <v>4602</v>
      </c>
      <c r="F696" s="916" t="s">
        <v>4603</v>
      </c>
      <c r="G696" s="915" t="s">
        <v>4604</v>
      </c>
      <c r="H696" s="917">
        <v>8800</v>
      </c>
      <c r="I696" s="918"/>
      <c r="J696" s="917">
        <v>463800</v>
      </c>
    </row>
    <row r="697" spans="1:10">
      <c r="A697" t="s">
        <v>4629</v>
      </c>
      <c r="B697" s="915" t="s">
        <v>4144</v>
      </c>
      <c r="C697" s="915" t="str">
        <f t="shared" si="10"/>
        <v>10월</v>
      </c>
      <c r="D697" s="916" t="s">
        <v>4619</v>
      </c>
      <c r="E697" s="916" t="s">
        <v>4622</v>
      </c>
      <c r="F697" s="916" t="s">
        <v>4623</v>
      </c>
      <c r="G697" s="915" t="s">
        <v>4624</v>
      </c>
      <c r="H697" s="917">
        <v>8800</v>
      </c>
      <c r="I697" s="918"/>
      <c r="J697" s="917">
        <v>582100</v>
      </c>
    </row>
    <row r="698" spans="1:10">
      <c r="A698" t="s">
        <v>4110</v>
      </c>
      <c r="B698" s="915" t="s">
        <v>3719</v>
      </c>
      <c r="C698" s="915" t="str">
        <f t="shared" si="10"/>
        <v>4월</v>
      </c>
      <c r="D698" s="916" t="s">
        <v>3808</v>
      </c>
      <c r="E698" s="916"/>
      <c r="F698" s="916" t="s">
        <v>4088</v>
      </c>
      <c r="G698" s="915"/>
      <c r="H698" s="917">
        <v>8700</v>
      </c>
      <c r="I698" s="918"/>
      <c r="J698" s="917">
        <v>246000</v>
      </c>
    </row>
    <row r="699" spans="1:10">
      <c r="A699" t="s">
        <v>3871</v>
      </c>
      <c r="B699" s="915" t="s">
        <v>3779</v>
      </c>
      <c r="C699" s="915" t="str">
        <f t="shared" si="10"/>
        <v>8월</v>
      </c>
      <c r="D699" s="916" t="s">
        <v>3660</v>
      </c>
      <c r="E699" s="916"/>
      <c r="F699" s="916" t="s">
        <v>3783</v>
      </c>
      <c r="G699" s="915"/>
      <c r="H699" s="917">
        <v>8600</v>
      </c>
      <c r="I699" s="918"/>
      <c r="J699" s="918"/>
    </row>
    <row r="700" spans="1:10">
      <c r="A700" t="s">
        <v>4110</v>
      </c>
      <c r="B700" s="915" t="s">
        <v>4082</v>
      </c>
      <c r="C700" s="915" t="str">
        <f t="shared" si="10"/>
        <v>4월</v>
      </c>
      <c r="D700" s="916" t="s">
        <v>3808</v>
      </c>
      <c r="E700" s="916"/>
      <c r="F700" s="916" t="s">
        <v>4084</v>
      </c>
      <c r="G700" s="915"/>
      <c r="H700" s="917">
        <v>8500</v>
      </c>
      <c r="I700" s="918"/>
      <c r="J700" s="918"/>
    </row>
    <row r="701" spans="1:10">
      <c r="A701" t="s">
        <v>4110</v>
      </c>
      <c r="B701" s="915" t="s">
        <v>4097</v>
      </c>
      <c r="C701" s="915" t="str">
        <f t="shared" si="10"/>
        <v>5월</v>
      </c>
      <c r="D701" s="916" t="s">
        <v>3808</v>
      </c>
      <c r="E701" s="916"/>
      <c r="F701" s="916" t="s">
        <v>4099</v>
      </c>
      <c r="G701" s="915"/>
      <c r="H701" s="917">
        <v>8500</v>
      </c>
      <c r="I701" s="918"/>
      <c r="J701" s="918"/>
    </row>
    <row r="702" spans="1:10">
      <c r="A702" t="s">
        <v>4110</v>
      </c>
      <c r="B702" s="915" t="s">
        <v>3739</v>
      </c>
      <c r="C702" s="915" t="str">
        <f t="shared" si="10"/>
        <v>5월</v>
      </c>
      <c r="D702" s="916" t="s">
        <v>3740</v>
      </c>
      <c r="E702" s="916"/>
      <c r="F702" s="916" t="s">
        <v>3733</v>
      </c>
      <c r="G702" s="915"/>
      <c r="H702" s="917">
        <v>8400</v>
      </c>
      <c r="I702" s="918"/>
      <c r="J702" s="917">
        <v>434100</v>
      </c>
    </row>
    <row r="703" spans="1:10">
      <c r="A703" t="s">
        <v>3871</v>
      </c>
      <c r="B703" s="915" t="s">
        <v>3667</v>
      </c>
      <c r="C703" s="915" t="str">
        <f t="shared" si="10"/>
        <v>2월</v>
      </c>
      <c r="D703" s="916" t="s">
        <v>3668</v>
      </c>
      <c r="E703" s="916"/>
      <c r="F703" s="916" t="s">
        <v>3672</v>
      </c>
      <c r="G703" s="915"/>
      <c r="H703" s="917">
        <v>8300</v>
      </c>
      <c r="I703" s="918"/>
      <c r="J703" s="918"/>
    </row>
    <row r="704" spans="1:10">
      <c r="A704" t="s">
        <v>3871</v>
      </c>
      <c r="B704" s="915" t="s">
        <v>3856</v>
      </c>
      <c r="C704" s="915" t="str">
        <f t="shared" si="10"/>
        <v>12월</v>
      </c>
      <c r="D704" s="916" t="s">
        <v>3660</v>
      </c>
      <c r="E704" s="916"/>
      <c r="F704" s="916" t="s">
        <v>3733</v>
      </c>
      <c r="G704" s="915"/>
      <c r="H704" s="917">
        <v>8300</v>
      </c>
      <c r="I704" s="918"/>
      <c r="J704" s="918"/>
    </row>
    <row r="705" spans="1:10">
      <c r="A705" t="s">
        <v>3871</v>
      </c>
      <c r="B705" s="915" t="s">
        <v>3838</v>
      </c>
      <c r="C705" s="915" t="str">
        <f t="shared" si="10"/>
        <v>11월</v>
      </c>
      <c r="D705" s="916" t="s">
        <v>3660</v>
      </c>
      <c r="E705" s="916"/>
      <c r="F705" s="916" t="s">
        <v>3770</v>
      </c>
      <c r="G705" s="915"/>
      <c r="H705" s="917">
        <v>8100</v>
      </c>
      <c r="I705" s="918"/>
      <c r="J705" s="917">
        <v>2238831</v>
      </c>
    </row>
    <row r="706" spans="1:10">
      <c r="A706" t="s">
        <v>3871</v>
      </c>
      <c r="B706" s="915" t="s">
        <v>3757</v>
      </c>
      <c r="C706" s="915" t="str">
        <f t="shared" ref="C706:C769" si="11">MONTH(B706)&amp;"월"</f>
        <v>7월</v>
      </c>
      <c r="D706" s="916" t="s">
        <v>3740</v>
      </c>
      <c r="E706" s="916"/>
      <c r="F706" s="916" t="s">
        <v>3760</v>
      </c>
      <c r="G706" s="915"/>
      <c r="H706" s="917">
        <v>8000</v>
      </c>
      <c r="I706" s="918"/>
      <c r="J706" s="917">
        <v>193631</v>
      </c>
    </row>
    <row r="707" spans="1:10">
      <c r="A707" t="s">
        <v>3871</v>
      </c>
      <c r="B707" s="915" t="s">
        <v>3828</v>
      </c>
      <c r="C707" s="915" t="str">
        <f t="shared" si="11"/>
        <v>11월</v>
      </c>
      <c r="D707" s="916" t="s">
        <v>3703</v>
      </c>
      <c r="E707" s="916"/>
      <c r="F707" s="916" t="s">
        <v>3810</v>
      </c>
      <c r="G707" s="915"/>
      <c r="H707" s="917">
        <v>8000</v>
      </c>
      <c r="I707" s="918"/>
      <c r="J707" s="917">
        <v>1862481</v>
      </c>
    </row>
    <row r="708" spans="1:10">
      <c r="A708" t="s">
        <v>3871</v>
      </c>
      <c r="B708" s="915" t="s">
        <v>3859</v>
      </c>
      <c r="C708" s="915" t="str">
        <f t="shared" si="11"/>
        <v>12월</v>
      </c>
      <c r="D708" s="916" t="s">
        <v>3660</v>
      </c>
      <c r="E708" s="916"/>
      <c r="F708" s="916" t="s">
        <v>3860</v>
      </c>
      <c r="G708" s="915"/>
      <c r="H708" s="917">
        <v>8000</v>
      </c>
      <c r="I708" s="918"/>
      <c r="J708" s="917">
        <v>810911</v>
      </c>
    </row>
    <row r="709" spans="1:10">
      <c r="A709" t="s">
        <v>3871</v>
      </c>
      <c r="B709" s="915" t="s">
        <v>3779</v>
      </c>
      <c r="C709" s="915" t="str">
        <f t="shared" si="11"/>
        <v>8월</v>
      </c>
      <c r="D709" s="916" t="s">
        <v>3660</v>
      </c>
      <c r="E709" s="916"/>
      <c r="F709" s="916" t="s">
        <v>3781</v>
      </c>
      <c r="G709" s="915"/>
      <c r="H709" s="917">
        <v>7900</v>
      </c>
      <c r="I709" s="918"/>
      <c r="J709" s="918"/>
    </row>
    <row r="710" spans="1:10">
      <c r="A710" t="s">
        <v>4110</v>
      </c>
      <c r="B710" s="915" t="s">
        <v>3757</v>
      </c>
      <c r="C710" s="915" t="str">
        <f t="shared" si="11"/>
        <v>7월</v>
      </c>
      <c r="D710" s="916" t="s">
        <v>3740</v>
      </c>
      <c r="E710" s="916"/>
      <c r="F710" s="916" t="s">
        <v>3733</v>
      </c>
      <c r="G710" s="915"/>
      <c r="H710" s="917">
        <v>7900</v>
      </c>
      <c r="I710" s="918"/>
      <c r="J710" s="917">
        <v>505900</v>
      </c>
    </row>
    <row r="711" spans="1:10">
      <c r="A711" t="s">
        <v>3871</v>
      </c>
      <c r="B711" s="915" t="s">
        <v>3856</v>
      </c>
      <c r="C711" s="915" t="str">
        <f t="shared" si="11"/>
        <v>12월</v>
      </c>
      <c r="D711" s="916" t="s">
        <v>3660</v>
      </c>
      <c r="E711" s="916"/>
      <c r="F711" s="916" t="s">
        <v>3857</v>
      </c>
      <c r="G711" s="915"/>
      <c r="H711" s="917">
        <v>7900</v>
      </c>
      <c r="I711" s="918"/>
      <c r="J711" s="918"/>
    </row>
    <row r="712" spans="1:10">
      <c r="A712" t="s">
        <v>3871</v>
      </c>
      <c r="B712" s="915" t="s">
        <v>3649</v>
      </c>
      <c r="C712" s="915" t="str">
        <f t="shared" si="11"/>
        <v>1월</v>
      </c>
      <c r="D712" s="916" t="s">
        <v>3651</v>
      </c>
      <c r="E712" s="916" t="s">
        <v>3653</v>
      </c>
      <c r="F712" s="916" t="s">
        <v>3654</v>
      </c>
      <c r="G712" s="915" t="s">
        <v>3655</v>
      </c>
      <c r="H712" s="917">
        <v>7800</v>
      </c>
      <c r="I712" s="918"/>
      <c r="J712" s="918"/>
    </row>
    <row r="713" spans="1:10">
      <c r="A713" t="s">
        <v>4597</v>
      </c>
      <c r="B713" s="915" t="s">
        <v>4324</v>
      </c>
      <c r="C713" s="915" t="str">
        <f t="shared" si="11"/>
        <v>3월</v>
      </c>
      <c r="D713" s="916" t="s">
        <v>4395</v>
      </c>
      <c r="E713" s="916" t="s">
        <v>4365</v>
      </c>
      <c r="F713" s="916" t="s">
        <v>4366</v>
      </c>
      <c r="G713" s="915"/>
      <c r="H713" s="917">
        <v>7760</v>
      </c>
      <c r="I713" s="918"/>
      <c r="J713" s="917">
        <v>1858875</v>
      </c>
    </row>
    <row r="714" spans="1:10">
      <c r="A714" t="s">
        <v>4650</v>
      </c>
      <c r="B714" s="915" t="s">
        <v>3667</v>
      </c>
      <c r="C714" s="915" t="str">
        <f t="shared" si="11"/>
        <v>2월</v>
      </c>
      <c r="D714" s="916" t="s">
        <v>4636</v>
      </c>
      <c r="E714" s="916"/>
      <c r="F714" s="916" t="s">
        <v>4305</v>
      </c>
      <c r="G714" s="915"/>
      <c r="H714" s="917">
        <v>7750</v>
      </c>
      <c r="I714" s="918"/>
      <c r="J714" s="917">
        <v>763700</v>
      </c>
    </row>
    <row r="715" spans="1:10">
      <c r="A715" t="s">
        <v>4597</v>
      </c>
      <c r="B715" s="915" t="s">
        <v>4138</v>
      </c>
      <c r="C715" s="915" t="str">
        <f t="shared" si="11"/>
        <v>4월</v>
      </c>
      <c r="D715" s="916" t="s">
        <v>4395</v>
      </c>
      <c r="E715" s="916" t="s">
        <v>4365</v>
      </c>
      <c r="F715" s="916" t="s">
        <v>4366</v>
      </c>
      <c r="G715" s="915"/>
      <c r="H715" s="917">
        <v>7700</v>
      </c>
      <c r="I715" s="918"/>
      <c r="J715" s="918"/>
    </row>
    <row r="716" spans="1:10">
      <c r="A716" t="s">
        <v>4110</v>
      </c>
      <c r="B716" s="915" t="s">
        <v>3719</v>
      </c>
      <c r="C716" s="915" t="str">
        <f t="shared" si="11"/>
        <v>4월</v>
      </c>
      <c r="D716" s="916" t="s">
        <v>3808</v>
      </c>
      <c r="E716" s="916"/>
      <c r="F716" s="916" t="s">
        <v>4087</v>
      </c>
      <c r="G716" s="915"/>
      <c r="H716" s="917">
        <v>7700</v>
      </c>
      <c r="I716" s="918"/>
      <c r="J716" s="918"/>
    </row>
    <row r="717" spans="1:10">
      <c r="A717" t="s">
        <v>3871</v>
      </c>
      <c r="B717" s="915" t="s">
        <v>3841</v>
      </c>
      <c r="C717" s="915" t="str">
        <f t="shared" si="11"/>
        <v>11월</v>
      </c>
      <c r="D717" s="916" t="s">
        <v>3660</v>
      </c>
      <c r="E717" s="916"/>
      <c r="F717" s="916" t="s">
        <v>3849</v>
      </c>
      <c r="G717" s="915"/>
      <c r="H717" s="917">
        <v>7700</v>
      </c>
      <c r="I717" s="918"/>
      <c r="J717" s="918"/>
    </row>
    <row r="718" spans="1:10">
      <c r="A718" t="s">
        <v>4597</v>
      </c>
      <c r="B718" s="915" t="s">
        <v>3767</v>
      </c>
      <c r="C718" s="915" t="str">
        <f t="shared" si="11"/>
        <v>7월</v>
      </c>
      <c r="D718" s="916" t="s">
        <v>4395</v>
      </c>
      <c r="E718" s="916" t="s">
        <v>4365</v>
      </c>
      <c r="F718" s="916" t="s">
        <v>4366</v>
      </c>
      <c r="G718" s="915"/>
      <c r="H718" s="917">
        <v>7680</v>
      </c>
      <c r="I718" s="918"/>
      <c r="J718" s="917">
        <v>17380980</v>
      </c>
    </row>
    <row r="719" spans="1:10">
      <c r="A719" t="s">
        <v>4110</v>
      </c>
      <c r="B719" s="915" t="s">
        <v>3696</v>
      </c>
      <c r="C719" s="915" t="str">
        <f t="shared" si="11"/>
        <v>3월</v>
      </c>
      <c r="D719" s="916" t="s">
        <v>3808</v>
      </c>
      <c r="E719" s="916"/>
      <c r="F719" s="916" t="s">
        <v>4079</v>
      </c>
      <c r="G719" s="915"/>
      <c r="H719" s="917">
        <v>7600</v>
      </c>
      <c r="I719" s="918"/>
      <c r="J719" s="918"/>
    </row>
    <row r="720" spans="1:10">
      <c r="A720" t="s">
        <v>3871</v>
      </c>
      <c r="B720" s="915" t="s">
        <v>3835</v>
      </c>
      <c r="C720" s="915" t="str">
        <f t="shared" si="11"/>
        <v>11월</v>
      </c>
      <c r="D720" s="916" t="s">
        <v>3660</v>
      </c>
      <c r="E720" s="916"/>
      <c r="F720" s="916" t="s">
        <v>3758</v>
      </c>
      <c r="G720" s="915"/>
      <c r="H720" s="917">
        <v>7600</v>
      </c>
      <c r="I720" s="918"/>
      <c r="J720" s="918"/>
    </row>
    <row r="721" spans="1:10">
      <c r="A721" t="s">
        <v>3871</v>
      </c>
      <c r="B721" s="915" t="s">
        <v>3864</v>
      </c>
      <c r="C721" s="915" t="str">
        <f t="shared" si="11"/>
        <v>12월</v>
      </c>
      <c r="D721" s="916" t="s">
        <v>3660</v>
      </c>
      <c r="E721" s="916"/>
      <c r="F721" s="916" t="s">
        <v>3758</v>
      </c>
      <c r="G721" s="915"/>
      <c r="H721" s="917">
        <v>7600</v>
      </c>
      <c r="I721" s="918"/>
      <c r="J721" s="918"/>
    </row>
    <row r="722" spans="1:10">
      <c r="A722" t="s">
        <v>4597</v>
      </c>
      <c r="B722" s="915" t="s">
        <v>4567</v>
      </c>
      <c r="C722" s="915" t="str">
        <f t="shared" si="11"/>
        <v>11월</v>
      </c>
      <c r="D722" s="916" t="s">
        <v>4395</v>
      </c>
      <c r="E722" s="916" t="s">
        <v>4365</v>
      </c>
      <c r="F722" s="916" t="s">
        <v>4366</v>
      </c>
      <c r="G722" s="915"/>
      <c r="H722" s="917">
        <v>7600</v>
      </c>
      <c r="I722" s="918"/>
      <c r="J722" s="917">
        <v>19669734</v>
      </c>
    </row>
    <row r="723" spans="1:10">
      <c r="A723" t="s">
        <v>3871</v>
      </c>
      <c r="B723" s="915" t="s">
        <v>3868</v>
      </c>
      <c r="C723" s="915" t="str">
        <f t="shared" si="11"/>
        <v>12월</v>
      </c>
      <c r="D723" s="916" t="s">
        <v>3660</v>
      </c>
      <c r="E723" s="916"/>
      <c r="F723" s="916" t="s">
        <v>3869</v>
      </c>
      <c r="G723" s="915"/>
      <c r="H723" s="917">
        <v>7600</v>
      </c>
      <c r="I723" s="918"/>
      <c r="J723" s="918"/>
    </row>
    <row r="724" spans="1:10">
      <c r="A724" t="s">
        <v>4597</v>
      </c>
      <c r="B724" s="915" t="s">
        <v>3737</v>
      </c>
      <c r="C724" s="915" t="str">
        <f t="shared" si="11"/>
        <v>5월</v>
      </c>
      <c r="D724" s="916" t="s">
        <v>4395</v>
      </c>
      <c r="E724" s="916" t="s">
        <v>4365</v>
      </c>
      <c r="F724" s="916" t="s">
        <v>4366</v>
      </c>
      <c r="G724" s="915"/>
      <c r="H724" s="917">
        <v>7580</v>
      </c>
      <c r="I724" s="918"/>
      <c r="J724" s="917">
        <v>12440877</v>
      </c>
    </row>
    <row r="725" spans="1:10">
      <c r="A725" t="s">
        <v>4597</v>
      </c>
      <c r="B725" s="915" t="s">
        <v>3632</v>
      </c>
      <c r="C725" s="915" t="str">
        <f t="shared" si="11"/>
        <v>1월</v>
      </c>
      <c r="D725" s="916" t="s">
        <v>4384</v>
      </c>
      <c r="E725" s="916" t="s">
        <v>4365</v>
      </c>
      <c r="F725" s="916" t="s">
        <v>4366</v>
      </c>
      <c r="G725" s="915"/>
      <c r="H725" s="917">
        <v>7520</v>
      </c>
      <c r="I725" s="918"/>
      <c r="J725" s="918"/>
    </row>
    <row r="726" spans="1:10">
      <c r="A726" t="s">
        <v>4597</v>
      </c>
      <c r="B726" s="915" t="s">
        <v>3678</v>
      </c>
      <c r="C726" s="915" t="str">
        <f t="shared" si="11"/>
        <v>2월</v>
      </c>
      <c r="D726" s="916" t="s">
        <v>4395</v>
      </c>
      <c r="E726" s="916" t="s">
        <v>4365</v>
      </c>
      <c r="F726" s="916" t="s">
        <v>4366</v>
      </c>
      <c r="G726" s="915"/>
      <c r="H726" s="917">
        <v>7520</v>
      </c>
      <c r="I726" s="918"/>
      <c r="J726" s="917">
        <v>727816</v>
      </c>
    </row>
    <row r="727" spans="1:10">
      <c r="A727" t="s">
        <v>3871</v>
      </c>
      <c r="B727" s="915" t="s">
        <v>3763</v>
      </c>
      <c r="C727" s="915" t="str">
        <f t="shared" si="11"/>
        <v>7월</v>
      </c>
      <c r="D727" s="916" t="s">
        <v>3660</v>
      </c>
      <c r="E727" s="916"/>
      <c r="F727" s="916" t="s">
        <v>3764</v>
      </c>
      <c r="G727" s="915"/>
      <c r="H727" s="917">
        <v>7500</v>
      </c>
      <c r="I727" s="918"/>
      <c r="J727" s="918"/>
    </row>
    <row r="728" spans="1:10">
      <c r="A728" t="s">
        <v>3871</v>
      </c>
      <c r="B728" s="915" t="s">
        <v>3779</v>
      </c>
      <c r="C728" s="915" t="str">
        <f t="shared" si="11"/>
        <v>8월</v>
      </c>
      <c r="D728" s="916" t="s">
        <v>3660</v>
      </c>
      <c r="E728" s="916"/>
      <c r="F728" s="916" t="s">
        <v>3780</v>
      </c>
      <c r="G728" s="915"/>
      <c r="H728" s="917">
        <v>7500</v>
      </c>
      <c r="I728" s="918"/>
      <c r="J728" s="918"/>
    </row>
    <row r="729" spans="1:10">
      <c r="A729" t="s">
        <v>4064</v>
      </c>
      <c r="B729" s="915" t="s">
        <v>3754</v>
      </c>
      <c r="C729" s="915" t="str">
        <f t="shared" si="11"/>
        <v>6월</v>
      </c>
      <c r="D729" s="916" t="s">
        <v>4042</v>
      </c>
      <c r="E729" s="916"/>
      <c r="F729" s="916" t="s">
        <v>4043</v>
      </c>
      <c r="G729" s="915"/>
      <c r="H729" s="917">
        <v>7500</v>
      </c>
      <c r="I729" s="918"/>
      <c r="J729" s="918"/>
    </row>
    <row r="730" spans="1:10">
      <c r="A730" t="s">
        <v>4597</v>
      </c>
      <c r="B730" s="915" t="s">
        <v>4124</v>
      </c>
      <c r="C730" s="915" t="str">
        <f t="shared" si="11"/>
        <v>9월</v>
      </c>
      <c r="D730" s="916" t="s">
        <v>4395</v>
      </c>
      <c r="E730" s="916" t="s">
        <v>4365</v>
      </c>
      <c r="F730" s="916" t="s">
        <v>4366</v>
      </c>
      <c r="G730" s="915"/>
      <c r="H730" s="917">
        <v>7420</v>
      </c>
      <c r="I730" s="918"/>
      <c r="J730" s="917">
        <v>18630474</v>
      </c>
    </row>
    <row r="731" spans="1:10">
      <c r="A731" t="s">
        <v>4110</v>
      </c>
      <c r="B731" s="915" t="s">
        <v>4082</v>
      </c>
      <c r="C731" s="915" t="str">
        <f t="shared" si="11"/>
        <v>4월</v>
      </c>
      <c r="D731" s="916" t="s">
        <v>3808</v>
      </c>
      <c r="E731" s="916"/>
      <c r="F731" s="916" t="s">
        <v>3733</v>
      </c>
      <c r="G731" s="915"/>
      <c r="H731" s="917">
        <v>7400</v>
      </c>
      <c r="I731" s="918"/>
      <c r="J731" s="918"/>
    </row>
    <row r="732" spans="1:10">
      <c r="A732" t="s">
        <v>4657</v>
      </c>
      <c r="B732" s="915" t="s">
        <v>3969</v>
      </c>
      <c r="C732" s="915" t="str">
        <f t="shared" si="11"/>
        <v>7월</v>
      </c>
      <c r="D732" s="916" t="s">
        <v>4656</v>
      </c>
      <c r="E732" s="916"/>
      <c r="F732" s="916" t="s">
        <v>4645</v>
      </c>
      <c r="G732" s="915"/>
      <c r="H732" s="917">
        <v>7400</v>
      </c>
      <c r="I732" s="918"/>
      <c r="J732" s="917">
        <v>7400</v>
      </c>
    </row>
    <row r="733" spans="1:10">
      <c r="A733" t="s">
        <v>3871</v>
      </c>
      <c r="B733" s="915" t="s">
        <v>3685</v>
      </c>
      <c r="C733" s="915" t="str">
        <f t="shared" si="11"/>
        <v>2월</v>
      </c>
      <c r="D733" s="916" t="s">
        <v>3641</v>
      </c>
      <c r="E733" s="916"/>
      <c r="F733" s="916" t="s">
        <v>3686</v>
      </c>
      <c r="G733" s="915"/>
      <c r="H733" s="917">
        <v>7300</v>
      </c>
      <c r="I733" s="918"/>
      <c r="J733" s="917">
        <v>1042710</v>
      </c>
    </row>
    <row r="734" spans="1:10">
      <c r="A734" t="s">
        <v>3871</v>
      </c>
      <c r="B734" s="915" t="s">
        <v>3771</v>
      </c>
      <c r="C734" s="915" t="str">
        <f t="shared" si="11"/>
        <v>7월</v>
      </c>
      <c r="D734" s="916" t="s">
        <v>3660</v>
      </c>
      <c r="E734" s="916"/>
      <c r="F734" s="916" t="s">
        <v>3733</v>
      </c>
      <c r="G734" s="915"/>
      <c r="H734" s="917">
        <v>7300</v>
      </c>
      <c r="I734" s="918"/>
      <c r="J734" s="917">
        <v>579381</v>
      </c>
    </row>
    <row r="735" spans="1:10">
      <c r="A735" t="s">
        <v>4597</v>
      </c>
      <c r="B735" s="915" t="s">
        <v>4190</v>
      </c>
      <c r="C735" s="915" t="str">
        <f t="shared" si="11"/>
        <v>6월</v>
      </c>
      <c r="D735" s="916" t="s">
        <v>4395</v>
      </c>
      <c r="E735" s="916" t="s">
        <v>4365</v>
      </c>
      <c r="F735" s="916" t="s">
        <v>4366</v>
      </c>
      <c r="G735" s="915"/>
      <c r="H735" s="917">
        <v>7200</v>
      </c>
      <c r="I735" s="918"/>
      <c r="J735" s="917">
        <v>15917735</v>
      </c>
    </row>
    <row r="736" spans="1:10">
      <c r="A736" t="s">
        <v>4597</v>
      </c>
      <c r="B736" s="915" t="s">
        <v>4269</v>
      </c>
      <c r="C736" s="915" t="str">
        <f t="shared" si="11"/>
        <v>8월</v>
      </c>
      <c r="D736" s="916" t="s">
        <v>4395</v>
      </c>
      <c r="E736" s="916" t="s">
        <v>4365</v>
      </c>
      <c r="F736" s="916" t="s">
        <v>4366</v>
      </c>
      <c r="G736" s="915"/>
      <c r="H736" s="917">
        <v>7200</v>
      </c>
      <c r="I736" s="918"/>
      <c r="J736" s="917">
        <v>18096256</v>
      </c>
    </row>
    <row r="737" spans="1:10">
      <c r="A737" t="s">
        <v>3871</v>
      </c>
      <c r="B737" s="915" t="s">
        <v>3819</v>
      </c>
      <c r="C737" s="915" t="str">
        <f t="shared" si="11"/>
        <v>10월</v>
      </c>
      <c r="D737" s="916" t="s">
        <v>3660</v>
      </c>
      <c r="E737" s="916"/>
      <c r="F737" s="916" t="s">
        <v>3821</v>
      </c>
      <c r="G737" s="915"/>
      <c r="H737" s="917">
        <v>7200</v>
      </c>
      <c r="I737" s="918"/>
      <c r="J737" s="918"/>
    </row>
    <row r="738" spans="1:10">
      <c r="A738" t="s">
        <v>3871</v>
      </c>
      <c r="B738" s="915" t="s">
        <v>3829</v>
      </c>
      <c r="C738" s="915" t="str">
        <f t="shared" si="11"/>
        <v>11월</v>
      </c>
      <c r="D738" s="916" t="s">
        <v>3660</v>
      </c>
      <c r="E738" s="916"/>
      <c r="F738" s="916" t="s">
        <v>3832</v>
      </c>
      <c r="G738" s="915"/>
      <c r="H738" s="917">
        <v>7200</v>
      </c>
      <c r="I738" s="918"/>
      <c r="J738" s="918"/>
    </row>
    <row r="739" spans="1:10">
      <c r="A739" t="s">
        <v>4110</v>
      </c>
      <c r="B739" s="915" t="s">
        <v>3720</v>
      </c>
      <c r="C739" s="915" t="str">
        <f t="shared" si="11"/>
        <v>4월</v>
      </c>
      <c r="D739" s="916" t="s">
        <v>3808</v>
      </c>
      <c r="E739" s="916"/>
      <c r="F739" s="916" t="s">
        <v>4092</v>
      </c>
      <c r="G739" s="915"/>
      <c r="H739" s="917">
        <v>7200</v>
      </c>
      <c r="I739" s="918"/>
      <c r="J739" s="917">
        <v>275000</v>
      </c>
    </row>
    <row r="740" spans="1:10">
      <c r="A740" t="s">
        <v>4110</v>
      </c>
      <c r="B740" s="915" t="s">
        <v>4093</v>
      </c>
      <c r="C740" s="915" t="str">
        <f t="shared" si="11"/>
        <v>4월</v>
      </c>
      <c r="D740" s="916" t="s">
        <v>3808</v>
      </c>
      <c r="E740" s="916"/>
      <c r="F740" s="916" t="s">
        <v>4095</v>
      </c>
      <c r="G740" s="915"/>
      <c r="H740" s="917">
        <v>7200</v>
      </c>
      <c r="I740" s="918"/>
      <c r="J740" s="918"/>
    </row>
    <row r="741" spans="1:10">
      <c r="A741" t="s">
        <v>3871</v>
      </c>
      <c r="B741" s="915" t="s">
        <v>3601</v>
      </c>
      <c r="C741" s="915" t="str">
        <f t="shared" si="11"/>
        <v>2월</v>
      </c>
      <c r="D741" s="916" t="s">
        <v>3660</v>
      </c>
      <c r="E741" s="916" t="s">
        <v>3653</v>
      </c>
      <c r="F741" s="916" t="s">
        <v>3654</v>
      </c>
      <c r="G741" s="915" t="s">
        <v>3655</v>
      </c>
      <c r="H741" s="917">
        <v>7100</v>
      </c>
      <c r="I741" s="918"/>
      <c r="J741" s="918"/>
    </row>
    <row r="742" spans="1:10">
      <c r="A742" t="s">
        <v>4597</v>
      </c>
      <c r="B742" s="915" t="s">
        <v>3819</v>
      </c>
      <c r="C742" s="915" t="str">
        <f t="shared" si="11"/>
        <v>10월</v>
      </c>
      <c r="D742" s="916" t="s">
        <v>4395</v>
      </c>
      <c r="E742" s="916" t="s">
        <v>4365</v>
      </c>
      <c r="F742" s="916" t="s">
        <v>4366</v>
      </c>
      <c r="G742" s="915"/>
      <c r="H742" s="917">
        <v>7100</v>
      </c>
      <c r="I742" s="918"/>
      <c r="J742" s="917">
        <v>19144759</v>
      </c>
    </row>
    <row r="743" spans="1:10">
      <c r="A743" t="s">
        <v>4597</v>
      </c>
      <c r="B743" s="915" t="s">
        <v>3861</v>
      </c>
      <c r="C743" s="915" t="str">
        <f t="shared" si="11"/>
        <v>12월</v>
      </c>
      <c r="D743" s="916" t="s">
        <v>4395</v>
      </c>
      <c r="E743" s="916" t="s">
        <v>4365</v>
      </c>
      <c r="F743" s="916" t="s">
        <v>4366</v>
      </c>
      <c r="G743" s="915"/>
      <c r="H743" s="917">
        <v>7060</v>
      </c>
      <c r="I743" s="918"/>
      <c r="J743" s="917">
        <v>20373252</v>
      </c>
    </row>
    <row r="744" spans="1:10">
      <c r="A744" t="s">
        <v>3871</v>
      </c>
      <c r="B744" s="915" t="s">
        <v>3700</v>
      </c>
      <c r="C744" s="915" t="str">
        <f t="shared" si="11"/>
        <v>3월</v>
      </c>
      <c r="D744" s="916" t="s">
        <v>3660</v>
      </c>
      <c r="E744" s="916"/>
      <c r="F744" s="916" t="s">
        <v>3702</v>
      </c>
      <c r="G744" s="915"/>
      <c r="H744" s="917">
        <v>7000</v>
      </c>
      <c r="I744" s="918"/>
      <c r="J744" s="918"/>
    </row>
    <row r="745" spans="1:10">
      <c r="A745" t="s">
        <v>4010</v>
      </c>
      <c r="B745" s="915" t="s">
        <v>3972</v>
      </c>
      <c r="C745" s="915" t="str">
        <f t="shared" si="11"/>
        <v>9월</v>
      </c>
      <c r="D745" s="916" t="s">
        <v>3973</v>
      </c>
      <c r="E745" s="916"/>
      <c r="F745" s="916" t="s">
        <v>3851</v>
      </c>
      <c r="G745" s="915"/>
      <c r="H745" s="917">
        <v>7000</v>
      </c>
      <c r="I745" s="918"/>
      <c r="J745" s="917">
        <v>4035920</v>
      </c>
    </row>
    <row r="746" spans="1:10">
      <c r="A746" t="s">
        <v>3871</v>
      </c>
      <c r="B746" s="915" t="s">
        <v>3739</v>
      </c>
      <c r="C746" s="915" t="str">
        <f t="shared" si="11"/>
        <v>5월</v>
      </c>
      <c r="D746" s="916" t="s">
        <v>3740</v>
      </c>
      <c r="E746" s="916"/>
      <c r="F746" s="916" t="s">
        <v>3741</v>
      </c>
      <c r="G746" s="915"/>
      <c r="H746" s="917">
        <v>7000</v>
      </c>
      <c r="I746" s="918"/>
      <c r="J746" s="918"/>
    </row>
    <row r="747" spans="1:10">
      <c r="A747" t="s">
        <v>4110</v>
      </c>
      <c r="B747" s="915" t="s">
        <v>3687</v>
      </c>
      <c r="C747" s="915" t="str">
        <f t="shared" si="11"/>
        <v>2월</v>
      </c>
      <c r="D747" s="916" t="s">
        <v>3808</v>
      </c>
      <c r="E747" s="916"/>
      <c r="F747" s="916" t="s">
        <v>4077</v>
      </c>
      <c r="G747" s="915"/>
      <c r="H747" s="917">
        <v>7000</v>
      </c>
      <c r="I747" s="918"/>
      <c r="J747" s="917">
        <v>147500</v>
      </c>
    </row>
    <row r="748" spans="1:10">
      <c r="A748" t="s">
        <v>4110</v>
      </c>
      <c r="B748" s="915" t="s">
        <v>3720</v>
      </c>
      <c r="C748" s="915" t="str">
        <f t="shared" si="11"/>
        <v>4월</v>
      </c>
      <c r="D748" s="916" t="s">
        <v>3808</v>
      </c>
      <c r="E748" s="916"/>
      <c r="F748" s="916" t="s">
        <v>4091</v>
      </c>
      <c r="G748" s="915"/>
      <c r="H748" s="917">
        <v>7000</v>
      </c>
      <c r="I748" s="918"/>
      <c r="J748" s="918"/>
    </row>
    <row r="749" spans="1:10">
      <c r="A749" t="s">
        <v>4362</v>
      </c>
      <c r="B749" s="915" t="s">
        <v>4334</v>
      </c>
      <c r="C749" s="915" t="str">
        <f t="shared" si="11"/>
        <v>5월</v>
      </c>
      <c r="D749" s="916" t="s">
        <v>4335</v>
      </c>
      <c r="E749" s="916"/>
      <c r="F749" s="916" t="s">
        <v>4305</v>
      </c>
      <c r="G749" s="915"/>
      <c r="H749" s="917">
        <v>7000</v>
      </c>
      <c r="I749" s="918"/>
      <c r="J749" s="917">
        <v>285570</v>
      </c>
    </row>
    <row r="750" spans="1:10">
      <c r="A750" t="s">
        <v>3871</v>
      </c>
      <c r="B750" s="915" t="s">
        <v>3868</v>
      </c>
      <c r="C750" s="915" t="str">
        <f t="shared" si="11"/>
        <v>12월</v>
      </c>
      <c r="D750" s="916" t="s">
        <v>3660</v>
      </c>
      <c r="E750" s="916"/>
      <c r="F750" s="916" t="s">
        <v>3733</v>
      </c>
      <c r="G750" s="915"/>
      <c r="H750" s="917">
        <v>7000</v>
      </c>
      <c r="I750" s="918"/>
      <c r="J750" s="917">
        <v>1006911</v>
      </c>
    </row>
    <row r="751" spans="1:10">
      <c r="A751" t="s">
        <v>3871</v>
      </c>
      <c r="B751" s="915" t="s">
        <v>3779</v>
      </c>
      <c r="C751" s="915" t="str">
        <f t="shared" si="11"/>
        <v>8월</v>
      </c>
      <c r="D751" s="916" t="s">
        <v>3660</v>
      </c>
      <c r="E751" s="916"/>
      <c r="F751" s="916" t="s">
        <v>3782</v>
      </c>
      <c r="G751" s="915"/>
      <c r="H751" s="917">
        <v>6900</v>
      </c>
      <c r="I751" s="918"/>
      <c r="J751" s="918"/>
    </row>
    <row r="752" spans="1:10">
      <c r="A752" t="s">
        <v>4110</v>
      </c>
      <c r="B752" s="915" t="s">
        <v>4082</v>
      </c>
      <c r="C752" s="915" t="str">
        <f t="shared" si="11"/>
        <v>4월</v>
      </c>
      <c r="D752" s="916" t="s">
        <v>3808</v>
      </c>
      <c r="E752" s="916"/>
      <c r="F752" s="916" t="s">
        <v>4086</v>
      </c>
      <c r="G752" s="915"/>
      <c r="H752" s="917">
        <v>6900</v>
      </c>
      <c r="I752" s="918"/>
      <c r="J752" s="917">
        <v>229600</v>
      </c>
    </row>
    <row r="753" spans="1:10">
      <c r="A753" t="s">
        <v>3871</v>
      </c>
      <c r="B753" s="915" t="s">
        <v>3829</v>
      </c>
      <c r="C753" s="915" t="str">
        <f t="shared" si="11"/>
        <v>11월</v>
      </c>
      <c r="D753" s="916" t="s">
        <v>3660</v>
      </c>
      <c r="E753" s="916"/>
      <c r="F753" s="916" t="s">
        <v>3733</v>
      </c>
      <c r="G753" s="915"/>
      <c r="H753" s="917">
        <v>6700</v>
      </c>
      <c r="I753" s="918"/>
      <c r="J753" s="918"/>
    </row>
    <row r="754" spans="1:10">
      <c r="A754" t="s">
        <v>3871</v>
      </c>
      <c r="B754" s="915" t="s">
        <v>3835</v>
      </c>
      <c r="C754" s="915" t="str">
        <f t="shared" si="11"/>
        <v>11월</v>
      </c>
      <c r="D754" s="916" t="s">
        <v>3660</v>
      </c>
      <c r="E754" s="916"/>
      <c r="F754" s="916" t="s">
        <v>3733</v>
      </c>
      <c r="G754" s="915"/>
      <c r="H754" s="917">
        <v>6700</v>
      </c>
      <c r="I754" s="918"/>
      <c r="J754" s="918"/>
    </row>
    <row r="755" spans="1:10">
      <c r="A755" t="s">
        <v>4220</v>
      </c>
      <c r="B755" s="915" t="s">
        <v>3835</v>
      </c>
      <c r="C755" s="915" t="str">
        <f t="shared" si="11"/>
        <v>11월</v>
      </c>
      <c r="D755" s="916" t="s">
        <v>4211</v>
      </c>
      <c r="E755" s="916" t="s">
        <v>4150</v>
      </c>
      <c r="F755" s="916" t="s">
        <v>4151</v>
      </c>
      <c r="G755" s="915" t="s">
        <v>4152</v>
      </c>
      <c r="H755" s="917">
        <v>6620</v>
      </c>
      <c r="I755" s="918"/>
      <c r="J755" s="917">
        <v>7740530</v>
      </c>
    </row>
    <row r="756" spans="1:10">
      <c r="A756" t="s">
        <v>3871</v>
      </c>
      <c r="B756" s="915" t="s">
        <v>3819</v>
      </c>
      <c r="C756" s="915" t="str">
        <f t="shared" si="11"/>
        <v>10월</v>
      </c>
      <c r="D756" s="916" t="s">
        <v>3660</v>
      </c>
      <c r="E756" s="916"/>
      <c r="F756" s="916" t="s">
        <v>3823</v>
      </c>
      <c r="G756" s="915"/>
      <c r="H756" s="917">
        <v>6600</v>
      </c>
      <c r="I756" s="918"/>
      <c r="J756" s="918"/>
    </row>
    <row r="757" spans="1:10">
      <c r="A757" t="s">
        <v>3871</v>
      </c>
      <c r="B757" s="915" t="s">
        <v>3763</v>
      </c>
      <c r="C757" s="915" t="str">
        <f t="shared" si="11"/>
        <v>7월</v>
      </c>
      <c r="D757" s="916" t="s">
        <v>3660</v>
      </c>
      <c r="E757" s="916"/>
      <c r="F757" s="916" t="s">
        <v>3765</v>
      </c>
      <c r="G757" s="915"/>
      <c r="H757" s="917">
        <v>6500</v>
      </c>
      <c r="I757" s="918"/>
      <c r="J757" s="918"/>
    </row>
    <row r="758" spans="1:10">
      <c r="A758" t="s">
        <v>3871</v>
      </c>
      <c r="B758" s="915" t="s">
        <v>3829</v>
      </c>
      <c r="C758" s="915" t="str">
        <f t="shared" si="11"/>
        <v>11월</v>
      </c>
      <c r="D758" s="916" t="s">
        <v>3660</v>
      </c>
      <c r="E758" s="916"/>
      <c r="F758" s="916" t="s">
        <v>3610</v>
      </c>
      <c r="G758" s="915"/>
      <c r="H758" s="917">
        <v>6500</v>
      </c>
      <c r="I758" s="918"/>
      <c r="J758" s="917">
        <v>2037781</v>
      </c>
    </row>
    <row r="759" spans="1:10">
      <c r="A759" t="s">
        <v>4110</v>
      </c>
      <c r="B759" s="915" t="s">
        <v>3696</v>
      </c>
      <c r="C759" s="915" t="str">
        <f t="shared" si="11"/>
        <v>3월</v>
      </c>
      <c r="D759" s="916" t="s">
        <v>3808</v>
      </c>
      <c r="E759" s="916"/>
      <c r="F759" s="916" t="s">
        <v>4081</v>
      </c>
      <c r="G759" s="915"/>
      <c r="H759" s="917">
        <v>6500</v>
      </c>
      <c r="I759" s="918"/>
      <c r="J759" s="917">
        <v>185400</v>
      </c>
    </row>
    <row r="760" spans="1:10">
      <c r="A760" t="s">
        <v>3871</v>
      </c>
      <c r="B760" s="915" t="s">
        <v>3864</v>
      </c>
      <c r="C760" s="915" t="str">
        <f t="shared" si="11"/>
        <v>12월</v>
      </c>
      <c r="D760" s="916" t="s">
        <v>3660</v>
      </c>
      <c r="E760" s="916"/>
      <c r="F760" s="916" t="s">
        <v>3733</v>
      </c>
      <c r="G760" s="915"/>
      <c r="H760" s="917">
        <v>6500</v>
      </c>
      <c r="I760" s="918"/>
      <c r="J760" s="918"/>
    </row>
    <row r="761" spans="1:10">
      <c r="A761" t="s">
        <v>4650</v>
      </c>
      <c r="B761" s="915" t="s">
        <v>3332</v>
      </c>
      <c r="C761" s="915" t="str">
        <f t="shared" si="11"/>
        <v>12월</v>
      </c>
      <c r="D761" s="916" t="s">
        <v>4649</v>
      </c>
      <c r="E761" s="916"/>
      <c r="F761" s="916" t="s">
        <v>4635</v>
      </c>
      <c r="G761" s="915"/>
      <c r="H761" s="917">
        <v>6432</v>
      </c>
      <c r="I761" s="918"/>
      <c r="J761" s="917">
        <v>3406652</v>
      </c>
    </row>
    <row r="762" spans="1:10">
      <c r="A762" t="s">
        <v>4064</v>
      </c>
      <c r="B762" s="915" t="s">
        <v>3608</v>
      </c>
      <c r="C762" s="915" t="str">
        <f t="shared" si="11"/>
        <v>6월</v>
      </c>
      <c r="D762" s="916" t="s">
        <v>4038</v>
      </c>
      <c r="E762" s="916"/>
      <c r="F762" s="916" t="s">
        <v>4040</v>
      </c>
      <c r="G762" s="915"/>
      <c r="H762" s="917">
        <v>6400</v>
      </c>
      <c r="I762" s="918"/>
      <c r="J762" s="918"/>
    </row>
    <row r="763" spans="1:10">
      <c r="A763" t="s">
        <v>3871</v>
      </c>
      <c r="B763" s="915" t="s">
        <v>3841</v>
      </c>
      <c r="C763" s="915" t="str">
        <f t="shared" si="11"/>
        <v>11월</v>
      </c>
      <c r="D763" s="916" t="s">
        <v>3660</v>
      </c>
      <c r="E763" s="916"/>
      <c r="F763" s="916" t="s">
        <v>3843</v>
      </c>
      <c r="G763" s="915"/>
      <c r="H763" s="917">
        <v>6400</v>
      </c>
      <c r="I763" s="918"/>
      <c r="J763" s="918"/>
    </row>
    <row r="764" spans="1:10">
      <c r="A764" t="s">
        <v>3871</v>
      </c>
      <c r="B764" s="915" t="s">
        <v>3841</v>
      </c>
      <c r="C764" s="915" t="str">
        <f t="shared" si="11"/>
        <v>11월</v>
      </c>
      <c r="D764" s="916" t="s">
        <v>3660</v>
      </c>
      <c r="E764" s="916"/>
      <c r="F764" s="916" t="s">
        <v>3733</v>
      </c>
      <c r="G764" s="915"/>
      <c r="H764" s="917">
        <v>6400</v>
      </c>
      <c r="I764" s="918"/>
      <c r="J764" s="918"/>
    </row>
    <row r="765" spans="1:10">
      <c r="A765" t="s">
        <v>3871</v>
      </c>
      <c r="B765" s="915" t="s">
        <v>3819</v>
      </c>
      <c r="C765" s="915" t="str">
        <f t="shared" si="11"/>
        <v>10월</v>
      </c>
      <c r="D765" s="916" t="s">
        <v>3660</v>
      </c>
      <c r="E765" s="916"/>
      <c r="F765" s="916" t="s">
        <v>3733</v>
      </c>
      <c r="G765" s="915"/>
      <c r="H765" s="917">
        <v>6200</v>
      </c>
      <c r="I765" s="918"/>
      <c r="J765" s="917">
        <v>1808381</v>
      </c>
    </row>
    <row r="766" spans="1:10">
      <c r="A766" t="s">
        <v>3871</v>
      </c>
      <c r="B766" s="915" t="s">
        <v>3841</v>
      </c>
      <c r="C766" s="915" t="str">
        <f t="shared" si="11"/>
        <v>11월</v>
      </c>
      <c r="D766" s="916" t="s">
        <v>3660</v>
      </c>
      <c r="E766" s="916"/>
      <c r="F766" s="916" t="s">
        <v>3733</v>
      </c>
      <c r="G766" s="915"/>
      <c r="H766" s="917">
        <v>6200</v>
      </c>
      <c r="I766" s="918"/>
      <c r="J766" s="918"/>
    </row>
    <row r="767" spans="1:10">
      <c r="A767" t="s">
        <v>3871</v>
      </c>
      <c r="B767" s="915" t="s">
        <v>3779</v>
      </c>
      <c r="C767" s="915" t="str">
        <f t="shared" si="11"/>
        <v>8월</v>
      </c>
      <c r="D767" s="916" t="s">
        <v>3660</v>
      </c>
      <c r="E767" s="916"/>
      <c r="F767" s="916" t="s">
        <v>3733</v>
      </c>
      <c r="G767" s="915"/>
      <c r="H767" s="917">
        <v>6100</v>
      </c>
      <c r="I767" s="918"/>
      <c r="J767" s="918"/>
    </row>
    <row r="768" spans="1:10">
      <c r="A768" t="s">
        <v>3871</v>
      </c>
      <c r="B768" s="915" t="s">
        <v>3826</v>
      </c>
      <c r="C768" s="915" t="str">
        <f t="shared" si="11"/>
        <v>11월</v>
      </c>
      <c r="D768" s="916" t="s">
        <v>3660</v>
      </c>
      <c r="E768" s="916"/>
      <c r="F768" s="916" t="s">
        <v>3827</v>
      </c>
      <c r="G768" s="915"/>
      <c r="H768" s="917">
        <v>6100</v>
      </c>
      <c r="I768" s="918"/>
      <c r="J768" s="917">
        <v>1854481</v>
      </c>
    </row>
    <row r="769" spans="1:10">
      <c r="A769" t="s">
        <v>3871</v>
      </c>
      <c r="B769" s="915" t="s">
        <v>3841</v>
      </c>
      <c r="C769" s="915" t="str">
        <f t="shared" si="11"/>
        <v>11월</v>
      </c>
      <c r="D769" s="916" t="s">
        <v>3660</v>
      </c>
      <c r="E769" s="916"/>
      <c r="F769" s="916" t="s">
        <v>3733</v>
      </c>
      <c r="G769" s="915"/>
      <c r="H769" s="917">
        <v>6100</v>
      </c>
      <c r="I769" s="918"/>
      <c r="J769" s="918"/>
    </row>
    <row r="770" spans="1:10">
      <c r="A770" t="s">
        <v>4597</v>
      </c>
      <c r="B770" s="915" t="s">
        <v>4378</v>
      </c>
      <c r="C770" s="915" t="str">
        <f t="shared" ref="C770:C833" si="12">MONTH(B770)&amp;"월"</f>
        <v>1월</v>
      </c>
      <c r="D770" s="916" t="s">
        <v>4379</v>
      </c>
      <c r="E770" s="916"/>
      <c r="F770" s="916" t="s">
        <v>3241</v>
      </c>
      <c r="G770" s="915"/>
      <c r="H770" s="917">
        <v>6000</v>
      </c>
      <c r="I770" s="918"/>
      <c r="J770" s="918"/>
    </row>
    <row r="771" spans="1:10">
      <c r="A771" t="s">
        <v>3871</v>
      </c>
      <c r="B771" s="915" t="s">
        <v>3635</v>
      </c>
      <c r="C771" s="915" t="str">
        <f t="shared" si="12"/>
        <v>1월</v>
      </c>
      <c r="D771" s="916" t="s">
        <v>3636</v>
      </c>
      <c r="E771" s="916"/>
      <c r="F771" s="916" t="s">
        <v>3639</v>
      </c>
      <c r="G771" s="915"/>
      <c r="H771" s="917">
        <v>6000</v>
      </c>
      <c r="I771" s="918"/>
      <c r="J771" s="917">
        <v>100770</v>
      </c>
    </row>
    <row r="772" spans="1:10">
      <c r="A772" t="s">
        <v>3871</v>
      </c>
      <c r="B772" s="915" t="s">
        <v>3841</v>
      </c>
      <c r="C772" s="915" t="str">
        <f t="shared" si="12"/>
        <v>11월</v>
      </c>
      <c r="D772" s="916" t="s">
        <v>3660</v>
      </c>
      <c r="E772" s="916"/>
      <c r="F772" s="916" t="s">
        <v>3733</v>
      </c>
      <c r="G772" s="915"/>
      <c r="H772" s="917">
        <v>6000</v>
      </c>
      <c r="I772" s="918"/>
      <c r="J772" s="918"/>
    </row>
    <row r="773" spans="1:10">
      <c r="A773" t="s">
        <v>4765</v>
      </c>
      <c r="B773" s="915" t="s">
        <v>4000</v>
      </c>
      <c r="C773" s="915" t="str">
        <f t="shared" si="12"/>
        <v>12월</v>
      </c>
      <c r="D773" s="916" t="s">
        <v>4750</v>
      </c>
      <c r="E773" s="916"/>
      <c r="F773" s="916" t="s">
        <v>4754</v>
      </c>
      <c r="G773" s="915"/>
      <c r="H773" s="917">
        <v>6000</v>
      </c>
      <c r="I773" s="918"/>
      <c r="J773" s="917">
        <v>23735380</v>
      </c>
    </row>
    <row r="774" spans="1:10">
      <c r="A774" t="s">
        <v>3871</v>
      </c>
      <c r="B774" s="915" t="s">
        <v>3819</v>
      </c>
      <c r="C774" s="915" t="str">
        <f t="shared" si="12"/>
        <v>10월</v>
      </c>
      <c r="D774" s="916" t="s">
        <v>3660</v>
      </c>
      <c r="E774" s="916"/>
      <c r="F774" s="916" t="s">
        <v>3733</v>
      </c>
      <c r="G774" s="915"/>
      <c r="H774" s="917">
        <v>5900</v>
      </c>
      <c r="I774" s="918"/>
      <c r="J774" s="918"/>
    </row>
    <row r="775" spans="1:10">
      <c r="A775" t="s">
        <v>4110</v>
      </c>
      <c r="B775" s="915" t="s">
        <v>3748</v>
      </c>
      <c r="C775" s="915" t="str">
        <f t="shared" si="12"/>
        <v>6월</v>
      </c>
      <c r="D775" s="916" t="s">
        <v>3740</v>
      </c>
      <c r="E775" s="916"/>
      <c r="F775" s="916" t="s">
        <v>4106</v>
      </c>
      <c r="G775" s="915"/>
      <c r="H775" s="917">
        <v>5900</v>
      </c>
      <c r="I775" s="918"/>
      <c r="J775" s="918"/>
    </row>
    <row r="776" spans="1:10">
      <c r="A776" t="s">
        <v>3871</v>
      </c>
      <c r="B776" s="915" t="s">
        <v>3854</v>
      </c>
      <c r="C776" s="915" t="str">
        <f t="shared" si="12"/>
        <v>12월</v>
      </c>
      <c r="D776" s="916" t="s">
        <v>3855</v>
      </c>
      <c r="E776" s="916"/>
      <c r="F776" s="916" t="s">
        <v>3610</v>
      </c>
      <c r="G776" s="915"/>
      <c r="H776" s="917">
        <v>5900</v>
      </c>
      <c r="I776" s="918"/>
      <c r="J776" s="918"/>
    </row>
    <row r="777" spans="1:10">
      <c r="A777" t="s">
        <v>4110</v>
      </c>
      <c r="B777" s="915" t="s">
        <v>3720</v>
      </c>
      <c r="C777" s="915" t="str">
        <f t="shared" si="12"/>
        <v>4월</v>
      </c>
      <c r="D777" s="916" t="s">
        <v>3808</v>
      </c>
      <c r="E777" s="916"/>
      <c r="F777" s="916" t="s">
        <v>4089</v>
      </c>
      <c r="G777" s="915"/>
      <c r="H777" s="917">
        <v>5800</v>
      </c>
      <c r="I777" s="918"/>
      <c r="J777" s="918"/>
    </row>
    <row r="778" spans="1:10">
      <c r="A778" t="s">
        <v>3871</v>
      </c>
      <c r="B778" s="915" t="s">
        <v>3763</v>
      </c>
      <c r="C778" s="915" t="str">
        <f t="shared" si="12"/>
        <v>7월</v>
      </c>
      <c r="D778" s="916" t="s">
        <v>3660</v>
      </c>
      <c r="E778" s="916"/>
      <c r="F778" s="916" t="s">
        <v>3733</v>
      </c>
      <c r="G778" s="915"/>
      <c r="H778" s="917">
        <v>5700</v>
      </c>
      <c r="I778" s="918"/>
      <c r="J778" s="917">
        <v>285831</v>
      </c>
    </row>
    <row r="779" spans="1:10">
      <c r="A779" t="s">
        <v>3871</v>
      </c>
      <c r="B779" s="915" t="s">
        <v>3819</v>
      </c>
      <c r="C779" s="915" t="str">
        <f t="shared" si="12"/>
        <v>10월</v>
      </c>
      <c r="D779" s="916" t="s">
        <v>3660</v>
      </c>
      <c r="E779" s="916"/>
      <c r="F779" s="916" t="s">
        <v>3820</v>
      </c>
      <c r="G779" s="915"/>
      <c r="H779" s="917">
        <v>5700</v>
      </c>
      <c r="I779" s="918"/>
      <c r="J779" s="918"/>
    </row>
    <row r="780" spans="1:10">
      <c r="A780" t="s">
        <v>3871</v>
      </c>
      <c r="B780" s="915" t="s">
        <v>3829</v>
      </c>
      <c r="C780" s="915" t="str">
        <f t="shared" si="12"/>
        <v>11월</v>
      </c>
      <c r="D780" s="916" t="s">
        <v>3660</v>
      </c>
      <c r="E780" s="916"/>
      <c r="F780" s="916" t="s">
        <v>3733</v>
      </c>
      <c r="G780" s="915"/>
      <c r="H780" s="917">
        <v>5700</v>
      </c>
      <c r="I780" s="918"/>
      <c r="J780" s="918"/>
    </row>
    <row r="781" spans="1:10">
      <c r="A781" t="s">
        <v>3871</v>
      </c>
      <c r="B781" s="915" t="s">
        <v>3841</v>
      </c>
      <c r="C781" s="915" t="str">
        <f t="shared" si="12"/>
        <v>11월</v>
      </c>
      <c r="D781" s="916" t="s">
        <v>3660</v>
      </c>
      <c r="E781" s="916"/>
      <c r="F781" s="916" t="s">
        <v>3846</v>
      </c>
      <c r="G781" s="915"/>
      <c r="H781" s="917">
        <v>5700</v>
      </c>
      <c r="I781" s="918"/>
      <c r="J781" s="918"/>
    </row>
    <row r="782" spans="1:10">
      <c r="A782" t="s">
        <v>3871</v>
      </c>
      <c r="B782" s="915" t="s">
        <v>3841</v>
      </c>
      <c r="C782" s="915" t="str">
        <f t="shared" si="12"/>
        <v>11월</v>
      </c>
      <c r="D782" s="916" t="s">
        <v>3660</v>
      </c>
      <c r="E782" s="916"/>
      <c r="F782" s="916" t="s">
        <v>3846</v>
      </c>
      <c r="G782" s="915"/>
      <c r="H782" s="917">
        <v>5700</v>
      </c>
      <c r="I782" s="918"/>
      <c r="J782" s="917">
        <v>2621911</v>
      </c>
    </row>
    <row r="783" spans="1:10">
      <c r="A783" t="s">
        <v>4110</v>
      </c>
      <c r="B783" s="915" t="s">
        <v>4082</v>
      </c>
      <c r="C783" s="915" t="str">
        <f t="shared" si="12"/>
        <v>4월</v>
      </c>
      <c r="D783" s="916" t="s">
        <v>3808</v>
      </c>
      <c r="E783" s="916"/>
      <c r="F783" s="916" t="s">
        <v>4085</v>
      </c>
      <c r="G783" s="915"/>
      <c r="H783" s="917">
        <v>5600</v>
      </c>
      <c r="I783" s="918"/>
      <c r="J783" s="918"/>
    </row>
    <row r="784" spans="1:10">
      <c r="A784" t="s">
        <v>3871</v>
      </c>
      <c r="B784" s="915" t="s">
        <v>3806</v>
      </c>
      <c r="C784" s="915" t="str">
        <f t="shared" si="12"/>
        <v>9월</v>
      </c>
      <c r="D784" s="916" t="s">
        <v>3660</v>
      </c>
      <c r="E784" s="916"/>
      <c r="F784" s="916" t="s">
        <v>3770</v>
      </c>
      <c r="G784" s="915"/>
      <c r="H784" s="917">
        <v>5500</v>
      </c>
      <c r="I784" s="918"/>
      <c r="J784" s="917">
        <v>1681881</v>
      </c>
    </row>
    <row r="785" spans="1:10">
      <c r="A785" t="s">
        <v>4110</v>
      </c>
      <c r="B785" s="915" t="s">
        <v>3696</v>
      </c>
      <c r="C785" s="915" t="str">
        <f t="shared" si="12"/>
        <v>3월</v>
      </c>
      <c r="D785" s="916" t="s">
        <v>3808</v>
      </c>
      <c r="E785" s="916"/>
      <c r="F785" s="916" t="s">
        <v>4080</v>
      </c>
      <c r="G785" s="915"/>
      <c r="H785" s="917">
        <v>5500</v>
      </c>
      <c r="I785" s="918"/>
      <c r="J785" s="918"/>
    </row>
    <row r="786" spans="1:10">
      <c r="A786" t="s">
        <v>4629</v>
      </c>
      <c r="B786" s="915" t="s">
        <v>3700</v>
      </c>
      <c r="C786" s="915" t="str">
        <f t="shared" si="12"/>
        <v>3월</v>
      </c>
      <c r="D786" s="916" t="s">
        <v>4607</v>
      </c>
      <c r="E786" s="916" t="s">
        <v>4602</v>
      </c>
      <c r="F786" s="916" t="s">
        <v>4603</v>
      </c>
      <c r="G786" s="915" t="s">
        <v>4604</v>
      </c>
      <c r="H786" s="917">
        <v>5500</v>
      </c>
      <c r="I786" s="918"/>
      <c r="J786" s="917">
        <v>100700</v>
      </c>
    </row>
    <row r="787" spans="1:10">
      <c r="A787" t="s">
        <v>4765</v>
      </c>
      <c r="B787" s="915" t="s">
        <v>4334</v>
      </c>
      <c r="C787" s="915" t="str">
        <f t="shared" si="12"/>
        <v>5월</v>
      </c>
      <c r="D787" s="916" t="s">
        <v>4698</v>
      </c>
      <c r="E787" s="916" t="s">
        <v>4390</v>
      </c>
      <c r="F787" s="916" t="s">
        <v>4391</v>
      </c>
      <c r="G787" s="915" t="s">
        <v>4392</v>
      </c>
      <c r="H787" s="917">
        <v>5500</v>
      </c>
      <c r="I787" s="918"/>
      <c r="J787" s="917">
        <v>5287200</v>
      </c>
    </row>
    <row r="788" spans="1:10">
      <c r="A788" t="s">
        <v>3871</v>
      </c>
      <c r="B788" s="915" t="s">
        <v>3819</v>
      </c>
      <c r="C788" s="915" t="str">
        <f t="shared" si="12"/>
        <v>10월</v>
      </c>
      <c r="D788" s="916" t="s">
        <v>3660</v>
      </c>
      <c r="E788" s="916"/>
      <c r="F788" s="916" t="s">
        <v>3821</v>
      </c>
      <c r="G788" s="915"/>
      <c r="H788" s="917">
        <v>5400</v>
      </c>
      <c r="I788" s="918"/>
      <c r="J788" s="918"/>
    </row>
    <row r="789" spans="1:10">
      <c r="A789" t="s">
        <v>4597</v>
      </c>
      <c r="B789" s="915" t="s">
        <v>3864</v>
      </c>
      <c r="C789" s="915" t="str">
        <f t="shared" si="12"/>
        <v>12월</v>
      </c>
      <c r="D789" s="916" t="s">
        <v>4593</v>
      </c>
      <c r="E789" s="916" t="s">
        <v>4369</v>
      </c>
      <c r="F789" s="916" t="s">
        <v>4555</v>
      </c>
      <c r="G789" s="915"/>
      <c r="H789" s="917">
        <v>5252</v>
      </c>
      <c r="I789" s="918"/>
      <c r="J789" s="917">
        <v>20379724</v>
      </c>
    </row>
    <row r="790" spans="1:10">
      <c r="A790" t="s">
        <v>3871</v>
      </c>
      <c r="B790" s="915" t="s">
        <v>3819</v>
      </c>
      <c r="C790" s="915" t="str">
        <f t="shared" si="12"/>
        <v>10월</v>
      </c>
      <c r="D790" s="916" t="s">
        <v>3660</v>
      </c>
      <c r="E790" s="916"/>
      <c r="F790" s="916" t="s">
        <v>3733</v>
      </c>
      <c r="G790" s="915"/>
      <c r="H790" s="917">
        <v>5100</v>
      </c>
      <c r="I790" s="918"/>
      <c r="J790" s="918"/>
    </row>
    <row r="791" spans="1:10">
      <c r="A791" t="s">
        <v>3871</v>
      </c>
      <c r="B791" s="915" t="s">
        <v>3829</v>
      </c>
      <c r="C791" s="915" t="str">
        <f t="shared" si="12"/>
        <v>11월</v>
      </c>
      <c r="D791" s="916" t="s">
        <v>3660</v>
      </c>
      <c r="E791" s="916"/>
      <c r="F791" s="916" t="s">
        <v>3733</v>
      </c>
      <c r="G791" s="915"/>
      <c r="H791" s="917">
        <v>5100</v>
      </c>
      <c r="I791" s="918"/>
      <c r="J791" s="918"/>
    </row>
    <row r="792" spans="1:10">
      <c r="A792" t="s">
        <v>3871</v>
      </c>
      <c r="B792" s="915" t="s">
        <v>3859</v>
      </c>
      <c r="C792" s="915" t="str">
        <f t="shared" si="12"/>
        <v>12월</v>
      </c>
      <c r="D792" s="916" t="s">
        <v>3660</v>
      </c>
      <c r="E792" s="916"/>
      <c r="F792" s="916" t="s">
        <v>3733</v>
      </c>
      <c r="G792" s="915"/>
      <c r="H792" s="917">
        <v>5100</v>
      </c>
      <c r="I792" s="918"/>
      <c r="J792" s="918"/>
    </row>
    <row r="793" spans="1:10">
      <c r="A793" t="s">
        <v>4597</v>
      </c>
      <c r="B793" s="915" t="s">
        <v>3878</v>
      </c>
      <c r="C793" s="915" t="str">
        <f t="shared" si="12"/>
        <v>3월</v>
      </c>
      <c r="D793" s="916" t="s">
        <v>4435</v>
      </c>
      <c r="E793" s="916"/>
      <c r="F793" s="916" t="s">
        <v>4386</v>
      </c>
      <c r="G793" s="915"/>
      <c r="H793" s="917">
        <v>5000</v>
      </c>
      <c r="I793" s="918"/>
      <c r="J793" s="917">
        <v>2311447</v>
      </c>
    </row>
    <row r="794" spans="1:10">
      <c r="A794" t="s">
        <v>4010</v>
      </c>
      <c r="B794" s="915" t="s">
        <v>3974</v>
      </c>
      <c r="C794" s="915" t="str">
        <f t="shared" si="12"/>
        <v>9월</v>
      </c>
      <c r="D794" s="916" t="s">
        <v>3976</v>
      </c>
      <c r="E794" s="916"/>
      <c r="F794" s="916"/>
      <c r="G794" s="915"/>
      <c r="H794" s="917">
        <v>5000</v>
      </c>
      <c r="I794" s="918"/>
      <c r="J794" s="917">
        <v>4163740</v>
      </c>
    </row>
    <row r="795" spans="1:10">
      <c r="A795" t="s">
        <v>4064</v>
      </c>
      <c r="B795" s="915" t="s">
        <v>3754</v>
      </c>
      <c r="C795" s="915" t="str">
        <f t="shared" si="12"/>
        <v>6월</v>
      </c>
      <c r="D795" s="916" t="s">
        <v>4042</v>
      </c>
      <c r="E795" s="916"/>
      <c r="F795" s="916" t="s">
        <v>4043</v>
      </c>
      <c r="G795" s="915"/>
      <c r="H795" s="917">
        <v>5000</v>
      </c>
      <c r="I795" s="918"/>
      <c r="J795" s="918"/>
    </row>
    <row r="796" spans="1:10">
      <c r="A796" t="s">
        <v>4110</v>
      </c>
      <c r="B796" s="915" t="s">
        <v>3687</v>
      </c>
      <c r="C796" s="915" t="str">
        <f t="shared" si="12"/>
        <v>2월</v>
      </c>
      <c r="D796" s="916" t="s">
        <v>3808</v>
      </c>
      <c r="E796" s="916"/>
      <c r="F796" s="916" t="s">
        <v>4075</v>
      </c>
      <c r="G796" s="915"/>
      <c r="H796" s="917">
        <v>5000</v>
      </c>
      <c r="I796" s="918"/>
      <c r="J796" s="918"/>
    </row>
    <row r="797" spans="1:10">
      <c r="A797" t="s">
        <v>4650</v>
      </c>
      <c r="B797" s="915" t="s">
        <v>3640</v>
      </c>
      <c r="C797" s="915" t="str">
        <f t="shared" si="12"/>
        <v>1월</v>
      </c>
      <c r="D797" s="916" t="s">
        <v>4636</v>
      </c>
      <c r="E797" s="916"/>
      <c r="F797" s="916" t="s">
        <v>4635</v>
      </c>
      <c r="G797" s="915"/>
      <c r="H797" s="917">
        <v>5000</v>
      </c>
      <c r="I797" s="918"/>
      <c r="J797" s="917">
        <v>311700</v>
      </c>
    </row>
    <row r="798" spans="1:10">
      <c r="A798" t="s">
        <v>4650</v>
      </c>
      <c r="B798" s="915" t="s">
        <v>3608</v>
      </c>
      <c r="C798" s="915" t="str">
        <f t="shared" si="12"/>
        <v>6월</v>
      </c>
      <c r="D798" s="916" t="s">
        <v>4647</v>
      </c>
      <c r="E798" s="916" t="s">
        <v>4638</v>
      </c>
      <c r="F798" s="916" t="s">
        <v>4635</v>
      </c>
      <c r="G798" s="915" t="s">
        <v>4639</v>
      </c>
      <c r="H798" s="917">
        <v>5000</v>
      </c>
      <c r="I798" s="918"/>
      <c r="J798" s="917">
        <v>3391220</v>
      </c>
    </row>
    <row r="799" spans="1:10">
      <c r="A799" t="s">
        <v>4765</v>
      </c>
      <c r="B799" s="915" t="s">
        <v>3807</v>
      </c>
      <c r="C799" s="915" t="str">
        <f t="shared" si="12"/>
        <v>10월</v>
      </c>
      <c r="D799" s="916" t="s">
        <v>4738</v>
      </c>
      <c r="E799" s="916"/>
      <c r="F799" s="916" t="s">
        <v>4694</v>
      </c>
      <c r="G799" s="915"/>
      <c r="H799" s="917">
        <v>5000</v>
      </c>
      <c r="I799" s="918"/>
      <c r="J799" s="917">
        <v>19176580</v>
      </c>
    </row>
    <row r="800" spans="1:10">
      <c r="A800" t="s">
        <v>4010</v>
      </c>
      <c r="B800" s="915" t="s">
        <v>4000</v>
      </c>
      <c r="C800" s="915" t="str">
        <f t="shared" si="12"/>
        <v>12월</v>
      </c>
      <c r="D800" s="916" t="s">
        <v>4001</v>
      </c>
      <c r="E800" s="916"/>
      <c r="F800" s="916" t="s">
        <v>4002</v>
      </c>
      <c r="G800" s="915"/>
      <c r="H800" s="917">
        <v>5000</v>
      </c>
      <c r="I800" s="918"/>
      <c r="J800" s="917">
        <v>2929781</v>
      </c>
    </row>
    <row r="801" spans="1:10">
      <c r="A801" t="s">
        <v>3871</v>
      </c>
      <c r="B801" s="915" t="s">
        <v>3829</v>
      </c>
      <c r="C801" s="915" t="str">
        <f t="shared" si="12"/>
        <v>11월</v>
      </c>
      <c r="D801" s="916" t="s">
        <v>3660</v>
      </c>
      <c r="E801" s="916"/>
      <c r="F801" s="916" t="s">
        <v>3733</v>
      </c>
      <c r="G801" s="915"/>
      <c r="H801" s="917">
        <v>4900</v>
      </c>
      <c r="I801" s="918"/>
      <c r="J801" s="918"/>
    </row>
    <row r="802" spans="1:10">
      <c r="A802" t="s">
        <v>3871</v>
      </c>
      <c r="B802" s="915" t="s">
        <v>3838</v>
      </c>
      <c r="C802" s="915" t="str">
        <f t="shared" si="12"/>
        <v>11월</v>
      </c>
      <c r="D802" s="916" t="s">
        <v>3660</v>
      </c>
      <c r="E802" s="916"/>
      <c r="F802" s="916" t="s">
        <v>3734</v>
      </c>
      <c r="G802" s="915"/>
      <c r="H802" s="917">
        <v>4900</v>
      </c>
      <c r="I802" s="918"/>
      <c r="J802" s="918"/>
    </row>
    <row r="803" spans="1:10">
      <c r="A803" t="s">
        <v>3871</v>
      </c>
      <c r="B803" s="915" t="s">
        <v>3838</v>
      </c>
      <c r="C803" s="915" t="str">
        <f t="shared" si="12"/>
        <v>11월</v>
      </c>
      <c r="D803" s="916" t="s">
        <v>3660</v>
      </c>
      <c r="E803" s="916"/>
      <c r="F803" s="916" t="s">
        <v>3839</v>
      </c>
      <c r="G803" s="915"/>
      <c r="H803" s="917">
        <v>4900</v>
      </c>
      <c r="I803" s="918"/>
      <c r="J803" s="918"/>
    </row>
    <row r="804" spans="1:10">
      <c r="A804" t="s">
        <v>4597</v>
      </c>
      <c r="B804" s="915" t="s">
        <v>3747</v>
      </c>
      <c r="C804" s="915" t="str">
        <f t="shared" si="12"/>
        <v>5월</v>
      </c>
      <c r="D804" s="916" t="s">
        <v>4460</v>
      </c>
      <c r="E804" s="916"/>
      <c r="F804" s="916" t="s">
        <v>4424</v>
      </c>
      <c r="G804" s="915"/>
      <c r="H804" s="917">
        <v>4800</v>
      </c>
      <c r="I804" s="918"/>
      <c r="J804" s="918"/>
    </row>
    <row r="805" spans="1:10">
      <c r="A805" t="s">
        <v>4110</v>
      </c>
      <c r="B805" s="915" t="s">
        <v>3601</v>
      </c>
      <c r="C805" s="915" t="str">
        <f t="shared" si="12"/>
        <v>2월</v>
      </c>
      <c r="D805" s="916" t="s">
        <v>3808</v>
      </c>
      <c r="E805" s="916"/>
      <c r="F805" s="916" t="s">
        <v>3666</v>
      </c>
      <c r="G805" s="915"/>
      <c r="H805" s="917">
        <v>4800</v>
      </c>
      <c r="I805" s="918"/>
      <c r="J805" s="918"/>
    </row>
    <row r="806" spans="1:10">
      <c r="A806" t="s">
        <v>4110</v>
      </c>
      <c r="B806" s="915" t="s">
        <v>4082</v>
      </c>
      <c r="C806" s="915" t="str">
        <f t="shared" si="12"/>
        <v>4월</v>
      </c>
      <c r="D806" s="916" t="s">
        <v>3808</v>
      </c>
      <c r="E806" s="916"/>
      <c r="F806" s="916" t="s">
        <v>3733</v>
      </c>
      <c r="G806" s="915"/>
      <c r="H806" s="917">
        <v>4800</v>
      </c>
      <c r="I806" s="918"/>
      <c r="J806" s="918"/>
    </row>
    <row r="807" spans="1:10">
      <c r="A807" t="s">
        <v>3871</v>
      </c>
      <c r="B807" s="915" t="s">
        <v>3667</v>
      </c>
      <c r="C807" s="915" t="str">
        <f t="shared" si="12"/>
        <v>2월</v>
      </c>
      <c r="D807" s="916" t="s">
        <v>3668</v>
      </c>
      <c r="E807" s="916"/>
      <c r="F807" s="916" t="s">
        <v>3670</v>
      </c>
      <c r="G807" s="915"/>
      <c r="H807" s="917">
        <v>4600</v>
      </c>
      <c r="I807" s="918"/>
      <c r="J807" s="918"/>
    </row>
    <row r="808" spans="1:10">
      <c r="A808" t="s">
        <v>4220</v>
      </c>
      <c r="B808" s="915" t="s">
        <v>4118</v>
      </c>
      <c r="C808" s="915" t="str">
        <f t="shared" si="12"/>
        <v>7월</v>
      </c>
      <c r="D808" s="916" t="s">
        <v>4193</v>
      </c>
      <c r="E808" s="916" t="s">
        <v>4150</v>
      </c>
      <c r="F808" s="916" t="s">
        <v>4151</v>
      </c>
      <c r="G808" s="915" t="s">
        <v>4152</v>
      </c>
      <c r="H808" s="917">
        <v>4570</v>
      </c>
      <c r="I808" s="918"/>
      <c r="J808" s="917">
        <v>5494040</v>
      </c>
    </row>
    <row r="809" spans="1:10">
      <c r="A809" t="s">
        <v>3871</v>
      </c>
      <c r="B809" s="915" t="s">
        <v>3835</v>
      </c>
      <c r="C809" s="915" t="str">
        <f t="shared" si="12"/>
        <v>11월</v>
      </c>
      <c r="D809" s="916" t="s">
        <v>3660</v>
      </c>
      <c r="E809" s="916"/>
      <c r="F809" s="916" t="s">
        <v>3836</v>
      </c>
      <c r="G809" s="915"/>
      <c r="H809" s="917">
        <v>4550</v>
      </c>
      <c r="I809" s="918"/>
      <c r="J809" s="918"/>
    </row>
    <row r="810" spans="1:10">
      <c r="A810" t="s">
        <v>3871</v>
      </c>
      <c r="B810" s="915" t="s">
        <v>3779</v>
      </c>
      <c r="C810" s="915" t="str">
        <f t="shared" si="12"/>
        <v>8월</v>
      </c>
      <c r="D810" s="916" t="s">
        <v>3660</v>
      </c>
      <c r="E810" s="916"/>
      <c r="F810" s="916" t="s">
        <v>3733</v>
      </c>
      <c r="G810" s="915"/>
      <c r="H810" s="917">
        <v>4500</v>
      </c>
      <c r="I810" s="918"/>
      <c r="J810" s="918"/>
    </row>
    <row r="811" spans="1:10">
      <c r="A811" t="s">
        <v>4064</v>
      </c>
      <c r="B811" s="915" t="s">
        <v>3754</v>
      </c>
      <c r="C811" s="915" t="str">
        <f t="shared" si="12"/>
        <v>6월</v>
      </c>
      <c r="D811" s="916" t="s">
        <v>4042</v>
      </c>
      <c r="E811" s="916"/>
      <c r="F811" s="916" t="s">
        <v>4043</v>
      </c>
      <c r="G811" s="915"/>
      <c r="H811" s="917">
        <v>4500</v>
      </c>
      <c r="I811" s="918"/>
      <c r="J811" s="918"/>
    </row>
    <row r="812" spans="1:10">
      <c r="A812" t="s">
        <v>4597</v>
      </c>
      <c r="B812" s="915" t="s">
        <v>4011</v>
      </c>
      <c r="C812" s="915" t="str">
        <f t="shared" si="12"/>
        <v>2월</v>
      </c>
      <c r="D812" s="916" t="s">
        <v>4414</v>
      </c>
      <c r="E812" s="916" t="s">
        <v>4256</v>
      </c>
      <c r="F812" s="916" t="s">
        <v>4257</v>
      </c>
      <c r="G812" s="915"/>
      <c r="H812" s="917">
        <v>4400</v>
      </c>
      <c r="I812" s="918"/>
      <c r="J812" s="917">
        <v>1264753</v>
      </c>
    </row>
    <row r="813" spans="1:10">
      <c r="A813" t="s">
        <v>4597</v>
      </c>
      <c r="B813" s="915" t="s">
        <v>3949</v>
      </c>
      <c r="C813" s="915" t="str">
        <f t="shared" si="12"/>
        <v>4월</v>
      </c>
      <c r="D813" s="916" t="s">
        <v>4443</v>
      </c>
      <c r="E813" s="916" t="s">
        <v>4444</v>
      </c>
      <c r="F813" s="916" t="s">
        <v>4445</v>
      </c>
      <c r="G813" s="915" t="s">
        <v>4446</v>
      </c>
      <c r="H813" s="917">
        <v>4400</v>
      </c>
      <c r="I813" s="918"/>
      <c r="J813" s="917">
        <v>2828719</v>
      </c>
    </row>
    <row r="814" spans="1:10">
      <c r="A814" t="s">
        <v>4597</v>
      </c>
      <c r="B814" s="915" t="s">
        <v>4334</v>
      </c>
      <c r="C814" s="915" t="str">
        <f t="shared" si="12"/>
        <v>5월</v>
      </c>
      <c r="D814" s="916" t="s">
        <v>4462</v>
      </c>
      <c r="E814" s="916"/>
      <c r="F814" s="916" t="s">
        <v>3209</v>
      </c>
      <c r="G814" s="915"/>
      <c r="H814" s="917">
        <v>4400</v>
      </c>
      <c r="I814" s="918"/>
      <c r="J814" s="918"/>
    </row>
    <row r="815" spans="1:10">
      <c r="A815" t="s">
        <v>4597</v>
      </c>
      <c r="B815" s="915" t="s">
        <v>4537</v>
      </c>
      <c r="C815" s="915" t="str">
        <f t="shared" si="12"/>
        <v>9월</v>
      </c>
      <c r="D815" s="916" t="s">
        <v>4538</v>
      </c>
      <c r="E815" s="916" t="s">
        <v>4444</v>
      </c>
      <c r="F815" s="916" t="s">
        <v>4445</v>
      </c>
      <c r="G815" s="915" t="s">
        <v>4446</v>
      </c>
      <c r="H815" s="917">
        <v>4400</v>
      </c>
      <c r="I815" s="918"/>
      <c r="J815" s="918"/>
    </row>
    <row r="816" spans="1:10">
      <c r="A816" t="s">
        <v>3871</v>
      </c>
      <c r="B816" s="915" t="s">
        <v>3739</v>
      </c>
      <c r="C816" s="915" t="str">
        <f t="shared" si="12"/>
        <v>5월</v>
      </c>
      <c r="D816" s="916" t="s">
        <v>3740</v>
      </c>
      <c r="E816" s="916"/>
      <c r="F816" s="916" t="s">
        <v>3743</v>
      </c>
      <c r="G816" s="915"/>
      <c r="H816" s="917">
        <v>4300</v>
      </c>
      <c r="I816" s="918"/>
      <c r="J816" s="918"/>
    </row>
    <row r="817" spans="1:10">
      <c r="A817" t="s">
        <v>3871</v>
      </c>
      <c r="B817" s="915" t="s">
        <v>3835</v>
      </c>
      <c r="C817" s="915" t="str">
        <f t="shared" si="12"/>
        <v>11월</v>
      </c>
      <c r="D817" s="916" t="s">
        <v>3660</v>
      </c>
      <c r="E817" s="916"/>
      <c r="F817" s="916" t="s">
        <v>3734</v>
      </c>
      <c r="G817" s="915"/>
      <c r="H817" s="917">
        <v>4300</v>
      </c>
      <c r="I817" s="918"/>
      <c r="J817" s="918"/>
    </row>
    <row r="818" spans="1:10">
      <c r="A818" t="s">
        <v>3871</v>
      </c>
      <c r="B818" s="915" t="s">
        <v>3667</v>
      </c>
      <c r="C818" s="915" t="str">
        <f t="shared" si="12"/>
        <v>2월</v>
      </c>
      <c r="D818" s="916" t="s">
        <v>3668</v>
      </c>
      <c r="E818" s="916"/>
      <c r="F818" s="916" t="s">
        <v>3673</v>
      </c>
      <c r="G818" s="915"/>
      <c r="H818" s="917">
        <v>4200</v>
      </c>
      <c r="I818" s="918"/>
      <c r="J818" s="918"/>
    </row>
    <row r="819" spans="1:10">
      <c r="A819" t="s">
        <v>3871</v>
      </c>
      <c r="B819" s="915" t="s">
        <v>3779</v>
      </c>
      <c r="C819" s="915" t="str">
        <f t="shared" si="12"/>
        <v>8월</v>
      </c>
      <c r="D819" s="916" t="s">
        <v>3660</v>
      </c>
      <c r="E819" s="916"/>
      <c r="F819" s="916" t="s">
        <v>3733</v>
      </c>
      <c r="G819" s="915"/>
      <c r="H819" s="917">
        <v>4200</v>
      </c>
      <c r="I819" s="918"/>
      <c r="J819" s="918"/>
    </row>
    <row r="820" spans="1:10">
      <c r="A820" t="s">
        <v>4110</v>
      </c>
      <c r="B820" s="915" t="s">
        <v>3757</v>
      </c>
      <c r="C820" s="915" t="str">
        <f t="shared" si="12"/>
        <v>7월</v>
      </c>
      <c r="D820" s="916" t="s">
        <v>3740</v>
      </c>
      <c r="E820" s="916"/>
      <c r="F820" s="916" t="s">
        <v>3733</v>
      </c>
      <c r="G820" s="915"/>
      <c r="H820" s="917">
        <v>4200</v>
      </c>
      <c r="I820" s="918"/>
      <c r="J820" s="918"/>
    </row>
    <row r="821" spans="1:10">
      <c r="A821" t="s">
        <v>3871</v>
      </c>
      <c r="B821" s="915" t="s">
        <v>3835</v>
      </c>
      <c r="C821" s="915" t="str">
        <f t="shared" si="12"/>
        <v>11월</v>
      </c>
      <c r="D821" s="916" t="s">
        <v>3660</v>
      </c>
      <c r="E821" s="916"/>
      <c r="F821" s="916" t="s">
        <v>3733</v>
      </c>
      <c r="G821" s="915"/>
      <c r="H821" s="917">
        <v>4100</v>
      </c>
      <c r="I821" s="918"/>
      <c r="J821" s="918"/>
    </row>
    <row r="822" spans="1:10">
      <c r="A822" t="s">
        <v>4362</v>
      </c>
      <c r="B822" s="915" t="s">
        <v>3667</v>
      </c>
      <c r="C822" s="915" t="str">
        <f t="shared" si="12"/>
        <v>2월</v>
      </c>
      <c r="D822" s="916" t="s">
        <v>4304</v>
      </c>
      <c r="E822" s="916"/>
      <c r="F822" s="916" t="s">
        <v>4305</v>
      </c>
      <c r="G822" s="915"/>
      <c r="H822" s="917">
        <v>4100</v>
      </c>
      <c r="I822" s="918"/>
      <c r="J822" s="917">
        <v>79030</v>
      </c>
    </row>
    <row r="823" spans="1:10">
      <c r="A823" t="s">
        <v>4597</v>
      </c>
      <c r="B823" s="915" t="s">
        <v>3632</v>
      </c>
      <c r="C823" s="915" t="str">
        <f t="shared" si="12"/>
        <v>1월</v>
      </c>
      <c r="D823" s="916" t="s">
        <v>4379</v>
      </c>
      <c r="E823" s="916"/>
      <c r="F823" s="916" t="s">
        <v>3195</v>
      </c>
      <c r="G823" s="915"/>
      <c r="H823" s="917">
        <v>4000</v>
      </c>
      <c r="I823" s="918"/>
      <c r="J823" s="918"/>
    </row>
    <row r="824" spans="1:10">
      <c r="A824" t="s">
        <v>3871</v>
      </c>
      <c r="B824" s="915" t="s">
        <v>3601</v>
      </c>
      <c r="C824" s="915" t="str">
        <f t="shared" si="12"/>
        <v>2월</v>
      </c>
      <c r="D824" s="916" t="s">
        <v>3660</v>
      </c>
      <c r="E824" s="916"/>
      <c r="F824" s="916" t="s">
        <v>3663</v>
      </c>
      <c r="G824" s="915"/>
      <c r="H824" s="917">
        <v>4000</v>
      </c>
      <c r="I824" s="918"/>
      <c r="J824" s="918"/>
    </row>
    <row r="825" spans="1:10">
      <c r="A825" t="s">
        <v>4597</v>
      </c>
      <c r="B825" s="915" t="s">
        <v>4334</v>
      </c>
      <c r="C825" s="915" t="str">
        <f t="shared" si="12"/>
        <v>5월</v>
      </c>
      <c r="D825" s="916" t="s">
        <v>4460</v>
      </c>
      <c r="E825" s="916"/>
      <c r="F825" s="916" t="s">
        <v>4461</v>
      </c>
      <c r="G825" s="915"/>
      <c r="H825" s="917">
        <v>4000</v>
      </c>
      <c r="I825" s="918"/>
      <c r="J825" s="918"/>
    </row>
    <row r="826" spans="1:10">
      <c r="A826" t="s">
        <v>4597</v>
      </c>
      <c r="B826" s="915" t="s">
        <v>3739</v>
      </c>
      <c r="C826" s="915" t="str">
        <f t="shared" si="12"/>
        <v>5월</v>
      </c>
      <c r="D826" s="916" t="s">
        <v>4473</v>
      </c>
      <c r="E826" s="916"/>
      <c r="F826" s="916" t="s">
        <v>4474</v>
      </c>
      <c r="G826" s="915"/>
      <c r="H826" s="917">
        <v>4000</v>
      </c>
      <c r="I826" s="918"/>
      <c r="J826" s="918"/>
    </row>
    <row r="827" spans="1:10">
      <c r="A827" t="s">
        <v>4362</v>
      </c>
      <c r="B827" s="915" t="s">
        <v>3747</v>
      </c>
      <c r="C827" s="915" t="str">
        <f t="shared" si="12"/>
        <v>5월</v>
      </c>
      <c r="D827" s="916" t="s">
        <v>4336</v>
      </c>
      <c r="E827" s="916"/>
      <c r="F827" s="916" t="s">
        <v>4305</v>
      </c>
      <c r="G827" s="915"/>
      <c r="H827" s="917">
        <v>4000</v>
      </c>
      <c r="I827" s="918"/>
      <c r="J827" s="917">
        <v>364500</v>
      </c>
    </row>
    <row r="828" spans="1:10">
      <c r="A828" t="s">
        <v>4597</v>
      </c>
      <c r="B828" s="915" t="s">
        <v>4568</v>
      </c>
      <c r="C828" s="915" t="str">
        <f t="shared" si="12"/>
        <v>11월</v>
      </c>
      <c r="D828" s="916" t="s">
        <v>4569</v>
      </c>
      <c r="E828" s="916"/>
      <c r="F828" s="916" t="s">
        <v>4424</v>
      </c>
      <c r="G828" s="915"/>
      <c r="H828" s="917">
        <v>4000</v>
      </c>
      <c r="I828" s="918"/>
      <c r="J828" s="917">
        <v>19673734</v>
      </c>
    </row>
    <row r="829" spans="1:10">
      <c r="A829" t="s">
        <v>4765</v>
      </c>
      <c r="B829" s="915" t="s">
        <v>3898</v>
      </c>
      <c r="C829" s="915" t="str">
        <f t="shared" si="12"/>
        <v>10월</v>
      </c>
      <c r="D829" s="916" t="s">
        <v>4739</v>
      </c>
      <c r="E829" s="916"/>
      <c r="F829" s="916" t="s">
        <v>4740</v>
      </c>
      <c r="G829" s="915"/>
      <c r="H829" s="917">
        <v>4000</v>
      </c>
      <c r="I829" s="918"/>
      <c r="J829" s="917">
        <v>19569580</v>
      </c>
    </row>
    <row r="830" spans="1:10">
      <c r="A830" t="s">
        <v>4110</v>
      </c>
      <c r="B830" s="915" t="s">
        <v>4097</v>
      </c>
      <c r="C830" s="915" t="str">
        <f t="shared" si="12"/>
        <v>5월</v>
      </c>
      <c r="D830" s="916" t="s">
        <v>4101</v>
      </c>
      <c r="E830" s="916"/>
      <c r="F830" s="916" t="s">
        <v>3733</v>
      </c>
      <c r="G830" s="915"/>
      <c r="H830" s="917">
        <v>3900</v>
      </c>
      <c r="I830" s="918"/>
      <c r="J830" s="917">
        <v>358400</v>
      </c>
    </row>
    <row r="831" spans="1:10">
      <c r="A831" t="s">
        <v>4597</v>
      </c>
      <c r="B831" s="915" t="s">
        <v>3835</v>
      </c>
      <c r="C831" s="915" t="str">
        <f t="shared" si="12"/>
        <v>11월</v>
      </c>
      <c r="D831" s="916" t="s">
        <v>4566</v>
      </c>
      <c r="E831" s="916" t="s">
        <v>4369</v>
      </c>
      <c r="F831" s="916" t="s">
        <v>4370</v>
      </c>
      <c r="G831" s="915"/>
      <c r="H831" s="917">
        <v>3850</v>
      </c>
      <c r="I831" s="918"/>
      <c r="J831" s="918"/>
    </row>
    <row r="832" spans="1:10">
      <c r="A832" t="s">
        <v>4597</v>
      </c>
      <c r="B832" s="915" t="s">
        <v>4591</v>
      </c>
      <c r="C832" s="915" t="str">
        <f t="shared" si="12"/>
        <v>12월</v>
      </c>
      <c r="D832" s="916" t="s">
        <v>4592</v>
      </c>
      <c r="E832" s="916" t="s">
        <v>4369</v>
      </c>
      <c r="F832" s="916" t="s">
        <v>4370</v>
      </c>
      <c r="G832" s="915"/>
      <c r="H832" s="917">
        <v>3850</v>
      </c>
      <c r="I832" s="918"/>
      <c r="J832" s="917">
        <v>20366192</v>
      </c>
    </row>
    <row r="833" spans="1:10">
      <c r="A833" t="s">
        <v>3871</v>
      </c>
      <c r="B833" s="915" t="s">
        <v>3667</v>
      </c>
      <c r="C833" s="915" t="str">
        <f t="shared" si="12"/>
        <v>2월</v>
      </c>
      <c r="D833" s="916" t="s">
        <v>3668</v>
      </c>
      <c r="E833" s="916"/>
      <c r="F833" s="916" t="s">
        <v>3671</v>
      </c>
      <c r="G833" s="915"/>
      <c r="H833" s="917">
        <v>3800</v>
      </c>
      <c r="I833" s="918"/>
      <c r="J833" s="918"/>
    </row>
    <row r="834" spans="1:10">
      <c r="A834" t="s">
        <v>4064</v>
      </c>
      <c r="B834" s="915" t="s">
        <v>4055</v>
      </c>
      <c r="C834" s="915" t="str">
        <f t="shared" ref="C834:C897" si="13">MONTH(B834)&amp;"월"</f>
        <v>10월</v>
      </c>
      <c r="D834" s="916" t="s">
        <v>4056</v>
      </c>
      <c r="E834" s="916"/>
      <c r="F834" s="916" t="s">
        <v>4057</v>
      </c>
      <c r="G834" s="915"/>
      <c r="H834" s="917">
        <v>3800</v>
      </c>
      <c r="I834" s="918"/>
      <c r="J834" s="917">
        <v>1576705</v>
      </c>
    </row>
    <row r="835" spans="1:10">
      <c r="A835" t="s">
        <v>3871</v>
      </c>
      <c r="B835" s="915" t="s">
        <v>3865</v>
      </c>
      <c r="C835" s="915" t="str">
        <f t="shared" si="13"/>
        <v>12월</v>
      </c>
      <c r="D835" s="916" t="s">
        <v>3660</v>
      </c>
      <c r="E835" s="916"/>
      <c r="F835" s="916" t="s">
        <v>3831</v>
      </c>
      <c r="G835" s="915"/>
      <c r="H835" s="917">
        <v>3800</v>
      </c>
      <c r="I835" s="918"/>
      <c r="J835" s="918"/>
    </row>
    <row r="836" spans="1:10">
      <c r="A836" t="s">
        <v>4362</v>
      </c>
      <c r="B836" s="915" t="s">
        <v>4349</v>
      </c>
      <c r="C836" s="915" t="str">
        <f t="shared" si="13"/>
        <v>9월</v>
      </c>
      <c r="D836" s="916" t="s">
        <v>4350</v>
      </c>
      <c r="E836" s="916" t="s">
        <v>4301</v>
      </c>
      <c r="F836" s="916" t="s">
        <v>4302</v>
      </c>
      <c r="G836" s="915" t="s">
        <v>4303</v>
      </c>
      <c r="H836" s="917">
        <v>3770</v>
      </c>
      <c r="I836" s="918"/>
      <c r="J836" s="917">
        <v>425890</v>
      </c>
    </row>
    <row r="837" spans="1:10">
      <c r="A837" t="s">
        <v>3871</v>
      </c>
      <c r="B837" s="915" t="s">
        <v>3601</v>
      </c>
      <c r="C837" s="915" t="str">
        <f t="shared" si="13"/>
        <v>2월</v>
      </c>
      <c r="D837" s="916" t="s">
        <v>3660</v>
      </c>
      <c r="E837" s="916"/>
      <c r="F837" s="916" t="s">
        <v>3662</v>
      </c>
      <c r="G837" s="915"/>
      <c r="H837" s="917">
        <v>3600</v>
      </c>
      <c r="I837" s="918"/>
      <c r="J837" s="918"/>
    </row>
    <row r="838" spans="1:10">
      <c r="A838" t="s">
        <v>4597</v>
      </c>
      <c r="B838" s="915" t="s">
        <v>4109</v>
      </c>
      <c r="C838" s="915" t="str">
        <f t="shared" si="13"/>
        <v>10월</v>
      </c>
      <c r="D838" s="916" t="s">
        <v>4548</v>
      </c>
      <c r="E838" s="916" t="s">
        <v>4369</v>
      </c>
      <c r="F838" s="916" t="s">
        <v>4370</v>
      </c>
      <c r="G838" s="915"/>
      <c r="H838" s="917">
        <v>3520</v>
      </c>
      <c r="I838" s="918"/>
      <c r="J838" s="917">
        <v>19149419</v>
      </c>
    </row>
    <row r="839" spans="1:10">
      <c r="A839" t="s">
        <v>4597</v>
      </c>
      <c r="B839" s="915" t="s">
        <v>3700</v>
      </c>
      <c r="C839" s="915" t="str">
        <f t="shared" si="13"/>
        <v>3월</v>
      </c>
      <c r="D839" s="916" t="s">
        <v>4433</v>
      </c>
      <c r="E839" s="916"/>
      <c r="F839" s="916" t="s">
        <v>4305</v>
      </c>
      <c r="G839" s="915"/>
      <c r="H839" s="917">
        <v>3500</v>
      </c>
      <c r="I839" s="918"/>
      <c r="J839" s="918"/>
    </row>
    <row r="840" spans="1:10">
      <c r="A840" t="s">
        <v>4597</v>
      </c>
      <c r="B840" s="915" t="s">
        <v>4532</v>
      </c>
      <c r="C840" s="915" t="str">
        <f t="shared" si="13"/>
        <v>8월</v>
      </c>
      <c r="D840" s="916" t="s">
        <v>4533</v>
      </c>
      <c r="E840" s="916"/>
      <c r="F840" s="916" t="s">
        <v>4305</v>
      </c>
      <c r="G840" s="915"/>
      <c r="H840" s="917">
        <v>3500</v>
      </c>
      <c r="I840" s="918"/>
      <c r="J840" s="918"/>
    </row>
    <row r="841" spans="1:10">
      <c r="A841" t="s">
        <v>4110</v>
      </c>
      <c r="B841" s="915" t="s">
        <v>3748</v>
      </c>
      <c r="C841" s="915" t="str">
        <f t="shared" si="13"/>
        <v>6월</v>
      </c>
      <c r="D841" s="916" t="s">
        <v>3740</v>
      </c>
      <c r="E841" s="916"/>
      <c r="F841" s="916" t="s">
        <v>3733</v>
      </c>
      <c r="G841" s="915"/>
      <c r="H841" s="917">
        <v>3500</v>
      </c>
      <c r="I841" s="918"/>
      <c r="J841" s="917">
        <v>446000</v>
      </c>
    </row>
    <row r="842" spans="1:10">
      <c r="A842" t="s">
        <v>4362</v>
      </c>
      <c r="B842" s="915" t="s">
        <v>3616</v>
      </c>
      <c r="C842" s="915" t="str">
        <f t="shared" si="13"/>
        <v>9월</v>
      </c>
      <c r="D842" s="916" t="s">
        <v>4346</v>
      </c>
      <c r="E842" s="916"/>
      <c r="F842" s="916" t="s">
        <v>4305</v>
      </c>
      <c r="G842" s="915"/>
      <c r="H842" s="917">
        <v>3500</v>
      </c>
      <c r="I842" s="918"/>
      <c r="J842" s="918"/>
    </row>
    <row r="843" spans="1:10">
      <c r="A843" t="s">
        <v>4362</v>
      </c>
      <c r="B843" s="915" t="s">
        <v>3901</v>
      </c>
      <c r="C843" s="915" t="str">
        <f t="shared" si="13"/>
        <v>11월</v>
      </c>
      <c r="D843" s="916" t="s">
        <v>4346</v>
      </c>
      <c r="E843" s="916"/>
      <c r="F843" s="916" t="s">
        <v>4305</v>
      </c>
      <c r="G843" s="915"/>
      <c r="H843" s="917">
        <v>3500</v>
      </c>
      <c r="I843" s="918"/>
      <c r="J843" s="917">
        <v>542550</v>
      </c>
    </row>
    <row r="844" spans="1:10">
      <c r="A844" t="s">
        <v>3871</v>
      </c>
      <c r="B844" s="915" t="s">
        <v>3763</v>
      </c>
      <c r="C844" s="915" t="str">
        <f t="shared" si="13"/>
        <v>7월</v>
      </c>
      <c r="D844" s="916" t="s">
        <v>3660</v>
      </c>
      <c r="E844" s="916"/>
      <c r="F844" s="916" t="s">
        <v>3733</v>
      </c>
      <c r="G844" s="915"/>
      <c r="H844" s="917">
        <v>3300</v>
      </c>
      <c r="I844" s="918"/>
      <c r="J844" s="918"/>
    </row>
    <row r="845" spans="1:10">
      <c r="A845" t="s">
        <v>4110</v>
      </c>
      <c r="B845" s="915" t="s">
        <v>4069</v>
      </c>
      <c r="C845" s="915" t="str">
        <f t="shared" si="13"/>
        <v>2월</v>
      </c>
      <c r="D845" s="916" t="s">
        <v>4070</v>
      </c>
      <c r="E845" s="916"/>
      <c r="F845" s="916" t="s">
        <v>4071</v>
      </c>
      <c r="G845" s="915"/>
      <c r="H845" s="917">
        <v>3300</v>
      </c>
      <c r="I845" s="918"/>
      <c r="J845" s="917">
        <v>63500</v>
      </c>
    </row>
    <row r="846" spans="1:10">
      <c r="A846" t="s">
        <v>4362</v>
      </c>
      <c r="B846" s="915" t="s">
        <v>4338</v>
      </c>
      <c r="C846" s="915" t="str">
        <f t="shared" si="13"/>
        <v>6월</v>
      </c>
      <c r="D846" s="916" t="s">
        <v>4307</v>
      </c>
      <c r="E846" s="916" t="s">
        <v>4301</v>
      </c>
      <c r="F846" s="916" t="s">
        <v>4302</v>
      </c>
      <c r="G846" s="915" t="s">
        <v>4303</v>
      </c>
      <c r="H846" s="917">
        <v>3010</v>
      </c>
      <c r="I846" s="918"/>
      <c r="J846" s="917">
        <v>369350</v>
      </c>
    </row>
    <row r="847" spans="1:10">
      <c r="A847" t="s">
        <v>4597</v>
      </c>
      <c r="B847" s="915" t="s">
        <v>4466</v>
      </c>
      <c r="C847" s="915" t="str">
        <f t="shared" si="13"/>
        <v>5월</v>
      </c>
      <c r="D847" s="916" t="s">
        <v>4467</v>
      </c>
      <c r="E847" s="916"/>
      <c r="F847" s="916" t="s">
        <v>4468</v>
      </c>
      <c r="G847" s="915"/>
      <c r="H847" s="917">
        <v>3000</v>
      </c>
      <c r="I847" s="918"/>
      <c r="J847" s="917">
        <v>12443877</v>
      </c>
    </row>
    <row r="848" spans="1:10">
      <c r="A848" t="s">
        <v>3871</v>
      </c>
      <c r="B848" s="915" t="s">
        <v>3841</v>
      </c>
      <c r="C848" s="915" t="str">
        <f t="shared" si="13"/>
        <v>11월</v>
      </c>
      <c r="D848" s="916" t="s">
        <v>3660</v>
      </c>
      <c r="E848" s="916"/>
      <c r="F848" s="916" t="s">
        <v>3850</v>
      </c>
      <c r="G848" s="915"/>
      <c r="H848" s="917">
        <v>3000</v>
      </c>
      <c r="I848" s="918"/>
      <c r="J848" s="918"/>
    </row>
    <row r="849" spans="1:10">
      <c r="A849" t="s">
        <v>4362</v>
      </c>
      <c r="B849" s="915" t="s">
        <v>4140</v>
      </c>
      <c r="C849" s="915" t="str">
        <f t="shared" si="13"/>
        <v>6월</v>
      </c>
      <c r="D849" s="916" t="s">
        <v>4335</v>
      </c>
      <c r="E849" s="916"/>
      <c r="F849" s="916" t="s">
        <v>4305</v>
      </c>
      <c r="G849" s="915"/>
      <c r="H849" s="917">
        <v>3000</v>
      </c>
      <c r="I849" s="918"/>
      <c r="J849" s="917">
        <v>372350</v>
      </c>
    </row>
    <row r="850" spans="1:10">
      <c r="A850" t="s">
        <v>4362</v>
      </c>
      <c r="B850" s="915" t="s">
        <v>3785</v>
      </c>
      <c r="C850" s="915" t="str">
        <f t="shared" si="13"/>
        <v>9월</v>
      </c>
      <c r="D850" s="916" t="s">
        <v>4346</v>
      </c>
      <c r="E850" s="916"/>
      <c r="F850" s="916" t="s">
        <v>4305</v>
      </c>
      <c r="G850" s="915"/>
      <c r="H850" s="917">
        <v>3000</v>
      </c>
      <c r="I850" s="918"/>
      <c r="J850" s="917">
        <v>405620</v>
      </c>
    </row>
    <row r="851" spans="1:10">
      <c r="A851" t="s">
        <v>4362</v>
      </c>
      <c r="B851" s="915" t="s">
        <v>4347</v>
      </c>
      <c r="C851" s="915" t="str">
        <f t="shared" si="13"/>
        <v>9월</v>
      </c>
      <c r="D851" s="916" t="s">
        <v>4344</v>
      </c>
      <c r="E851" s="916"/>
      <c r="F851" s="916" t="s">
        <v>4309</v>
      </c>
      <c r="G851" s="915"/>
      <c r="H851" s="917">
        <v>3000</v>
      </c>
      <c r="I851" s="918"/>
      <c r="J851" s="917">
        <v>408620</v>
      </c>
    </row>
    <row r="852" spans="1:10">
      <c r="A852" t="s">
        <v>4362</v>
      </c>
      <c r="B852" s="915" t="s">
        <v>3819</v>
      </c>
      <c r="C852" s="915" t="str">
        <f t="shared" si="13"/>
        <v>10월</v>
      </c>
      <c r="D852" s="916" t="s">
        <v>4346</v>
      </c>
      <c r="E852" s="916"/>
      <c r="F852" s="916" t="s">
        <v>4305</v>
      </c>
      <c r="G852" s="915"/>
      <c r="H852" s="917">
        <v>3000</v>
      </c>
      <c r="I852" s="918"/>
      <c r="J852" s="918"/>
    </row>
    <row r="853" spans="1:10">
      <c r="A853" t="s">
        <v>4629</v>
      </c>
      <c r="B853" s="915" t="s">
        <v>3757</v>
      </c>
      <c r="C853" s="915" t="str">
        <f t="shared" si="13"/>
        <v>7월</v>
      </c>
      <c r="D853" s="916" t="s">
        <v>4616</v>
      </c>
      <c r="E853" s="916"/>
      <c r="F853" s="916" t="s">
        <v>4617</v>
      </c>
      <c r="G853" s="915"/>
      <c r="H853" s="917">
        <v>3000</v>
      </c>
      <c r="I853" s="918"/>
      <c r="J853" s="917">
        <v>400800</v>
      </c>
    </row>
    <row r="854" spans="1:10">
      <c r="A854" t="s">
        <v>3871</v>
      </c>
      <c r="B854" s="915" t="s">
        <v>3865</v>
      </c>
      <c r="C854" s="915" t="str">
        <f t="shared" si="13"/>
        <v>12월</v>
      </c>
      <c r="D854" s="916" t="s">
        <v>3660</v>
      </c>
      <c r="E854" s="916"/>
      <c r="F854" s="916" t="s">
        <v>3866</v>
      </c>
      <c r="G854" s="915"/>
      <c r="H854" s="917">
        <v>3000</v>
      </c>
      <c r="I854" s="918"/>
      <c r="J854" s="918"/>
    </row>
    <row r="855" spans="1:10">
      <c r="A855" t="s">
        <v>4765</v>
      </c>
      <c r="B855" s="915" t="s">
        <v>3330</v>
      </c>
      <c r="C855" s="915" t="str">
        <f t="shared" si="13"/>
        <v>12월</v>
      </c>
      <c r="D855" s="916" t="s">
        <v>4756</v>
      </c>
      <c r="E855" s="916"/>
      <c r="F855" s="916" t="s">
        <v>4112</v>
      </c>
      <c r="G855" s="915"/>
      <c r="H855" s="917">
        <v>3000</v>
      </c>
      <c r="I855" s="918"/>
      <c r="J855" s="918"/>
    </row>
    <row r="856" spans="1:10">
      <c r="A856" t="s">
        <v>3871</v>
      </c>
      <c r="B856" s="915" t="s">
        <v>3841</v>
      </c>
      <c r="C856" s="915" t="str">
        <f t="shared" si="13"/>
        <v>11월</v>
      </c>
      <c r="D856" s="916" t="s">
        <v>3660</v>
      </c>
      <c r="E856" s="916"/>
      <c r="F856" s="916" t="s">
        <v>3851</v>
      </c>
      <c r="G856" s="915"/>
      <c r="H856" s="917">
        <v>2700</v>
      </c>
      <c r="I856" s="918"/>
      <c r="J856" s="918"/>
    </row>
    <row r="857" spans="1:10">
      <c r="A857" t="s">
        <v>4362</v>
      </c>
      <c r="B857" s="915" t="s">
        <v>3807</v>
      </c>
      <c r="C857" s="915" t="str">
        <f t="shared" si="13"/>
        <v>10월</v>
      </c>
      <c r="D857" s="916" t="s">
        <v>4346</v>
      </c>
      <c r="E857" s="916"/>
      <c r="F857" s="916" t="s">
        <v>4305</v>
      </c>
      <c r="G857" s="915"/>
      <c r="H857" s="917">
        <v>2700</v>
      </c>
      <c r="I857" s="918"/>
      <c r="J857" s="918"/>
    </row>
    <row r="858" spans="1:10">
      <c r="A858" t="s">
        <v>4362</v>
      </c>
      <c r="B858" s="915" t="s">
        <v>3807</v>
      </c>
      <c r="C858" s="915" t="str">
        <f t="shared" si="13"/>
        <v>10월</v>
      </c>
      <c r="D858" s="916" t="s">
        <v>4346</v>
      </c>
      <c r="E858" s="916"/>
      <c r="F858" s="916" t="s">
        <v>4305</v>
      </c>
      <c r="G858" s="915"/>
      <c r="H858" s="917">
        <v>2700</v>
      </c>
      <c r="I858" s="918"/>
      <c r="J858" s="917">
        <v>431290</v>
      </c>
    </row>
    <row r="859" spans="1:10">
      <c r="A859" t="s">
        <v>4597</v>
      </c>
      <c r="B859" s="915" t="s">
        <v>3613</v>
      </c>
      <c r="C859" s="915" t="str">
        <f t="shared" si="13"/>
        <v>6월</v>
      </c>
      <c r="D859" s="916" t="s">
        <v>4416</v>
      </c>
      <c r="E859" s="916" t="s">
        <v>4438</v>
      </c>
      <c r="F859" s="916" t="s">
        <v>4439</v>
      </c>
      <c r="G859" s="915"/>
      <c r="H859" s="917">
        <v>2684</v>
      </c>
      <c r="I859" s="918"/>
      <c r="J859" s="918"/>
    </row>
    <row r="860" spans="1:10">
      <c r="A860" t="s">
        <v>4597</v>
      </c>
      <c r="B860" s="915" t="s">
        <v>4367</v>
      </c>
      <c r="C860" s="915" t="str">
        <f t="shared" si="13"/>
        <v>1월</v>
      </c>
      <c r="D860" s="916" t="s">
        <v>4368</v>
      </c>
      <c r="E860" s="916" t="s">
        <v>4369</v>
      </c>
      <c r="F860" s="916" t="s">
        <v>4370</v>
      </c>
      <c r="G860" s="915"/>
      <c r="H860" s="917">
        <v>2667</v>
      </c>
      <c r="I860" s="918"/>
      <c r="J860" s="918"/>
    </row>
    <row r="861" spans="1:10">
      <c r="A861" t="s">
        <v>4597</v>
      </c>
      <c r="B861" s="915" t="s">
        <v>3705</v>
      </c>
      <c r="C861" s="915" t="str">
        <f t="shared" si="13"/>
        <v>3월</v>
      </c>
      <c r="D861" s="916" t="s">
        <v>4434</v>
      </c>
      <c r="E861" s="916" t="s">
        <v>4369</v>
      </c>
      <c r="F861" s="916" t="s">
        <v>4370</v>
      </c>
      <c r="G861" s="915"/>
      <c r="H861" s="917">
        <v>2555</v>
      </c>
      <c r="I861" s="918"/>
      <c r="J861" s="918"/>
    </row>
    <row r="862" spans="1:10">
      <c r="A862" t="s">
        <v>3871</v>
      </c>
      <c r="B862" s="915" t="s">
        <v>3779</v>
      </c>
      <c r="C862" s="915" t="str">
        <f t="shared" si="13"/>
        <v>8월</v>
      </c>
      <c r="D862" s="916" t="s">
        <v>3660</v>
      </c>
      <c r="E862" s="916"/>
      <c r="F862" s="916" t="s">
        <v>3726</v>
      </c>
      <c r="G862" s="915"/>
      <c r="H862" s="917">
        <v>2500</v>
      </c>
      <c r="I862" s="918"/>
      <c r="J862" s="918"/>
    </row>
    <row r="863" spans="1:10">
      <c r="A863" t="s">
        <v>4110</v>
      </c>
      <c r="B863" s="915" t="s">
        <v>3748</v>
      </c>
      <c r="C863" s="915" t="str">
        <f t="shared" si="13"/>
        <v>6월</v>
      </c>
      <c r="D863" s="916" t="s">
        <v>3740</v>
      </c>
      <c r="E863" s="916"/>
      <c r="F863" s="916" t="s">
        <v>4105</v>
      </c>
      <c r="G863" s="915"/>
      <c r="H863" s="917">
        <v>2500</v>
      </c>
      <c r="I863" s="918"/>
      <c r="J863" s="918"/>
    </row>
    <row r="864" spans="1:10">
      <c r="A864" t="s">
        <v>4362</v>
      </c>
      <c r="B864" s="915" t="s">
        <v>3676</v>
      </c>
      <c r="C864" s="915" t="str">
        <f t="shared" si="13"/>
        <v>2월</v>
      </c>
      <c r="D864" s="916" t="s">
        <v>4308</v>
      </c>
      <c r="E864" s="916"/>
      <c r="F864" s="916" t="s">
        <v>4309</v>
      </c>
      <c r="G864" s="915"/>
      <c r="H864" s="917">
        <v>2500</v>
      </c>
      <c r="I864" s="918"/>
      <c r="J864" s="917">
        <v>144890</v>
      </c>
    </row>
    <row r="865" spans="1:10">
      <c r="A865" t="s">
        <v>4362</v>
      </c>
      <c r="B865" s="915" t="s">
        <v>4332</v>
      </c>
      <c r="C865" s="915" t="str">
        <f t="shared" si="13"/>
        <v>4월</v>
      </c>
      <c r="D865" s="916" t="s">
        <v>4333</v>
      </c>
      <c r="E865" s="916"/>
      <c r="F865" s="916" t="s">
        <v>4309</v>
      </c>
      <c r="G865" s="915"/>
      <c r="H865" s="917">
        <v>2500</v>
      </c>
      <c r="I865" s="918"/>
      <c r="J865" s="917">
        <v>278570</v>
      </c>
    </row>
    <row r="866" spans="1:10">
      <c r="A866" t="s">
        <v>4362</v>
      </c>
      <c r="B866" s="915" t="s">
        <v>4342</v>
      </c>
      <c r="C866" s="915" t="str">
        <f t="shared" si="13"/>
        <v>7월</v>
      </c>
      <c r="D866" s="916" t="s">
        <v>4343</v>
      </c>
      <c r="E866" s="916"/>
      <c r="F866" s="916" t="s">
        <v>4309</v>
      </c>
      <c r="G866" s="915"/>
      <c r="H866" s="917">
        <v>2500</v>
      </c>
      <c r="I866" s="918"/>
      <c r="J866" s="917">
        <v>393850</v>
      </c>
    </row>
    <row r="867" spans="1:10">
      <c r="A867" t="s">
        <v>4362</v>
      </c>
      <c r="B867" s="915" t="s">
        <v>4266</v>
      </c>
      <c r="C867" s="915" t="str">
        <f t="shared" si="13"/>
        <v>7월</v>
      </c>
      <c r="D867" s="916" t="s">
        <v>4344</v>
      </c>
      <c r="E867" s="916"/>
      <c r="F867" s="916" t="s">
        <v>4309</v>
      </c>
      <c r="G867" s="915"/>
      <c r="H867" s="917">
        <v>2500</v>
      </c>
      <c r="I867" s="918"/>
      <c r="J867" s="917">
        <v>396350</v>
      </c>
    </row>
    <row r="868" spans="1:10">
      <c r="A868" t="s">
        <v>4362</v>
      </c>
      <c r="B868" s="915" t="s">
        <v>3972</v>
      </c>
      <c r="C868" s="915" t="str">
        <f t="shared" si="13"/>
        <v>9월</v>
      </c>
      <c r="D868" s="916" t="s">
        <v>4344</v>
      </c>
      <c r="E868" s="916"/>
      <c r="F868" s="916" t="s">
        <v>4345</v>
      </c>
      <c r="G868" s="915"/>
      <c r="H868" s="917">
        <v>2500</v>
      </c>
      <c r="I868" s="918"/>
      <c r="J868" s="917">
        <v>402620</v>
      </c>
    </row>
    <row r="869" spans="1:10">
      <c r="A869" t="s">
        <v>4362</v>
      </c>
      <c r="B869" s="915" t="s">
        <v>3828</v>
      </c>
      <c r="C869" s="915" t="str">
        <f t="shared" si="13"/>
        <v>11월</v>
      </c>
      <c r="D869" s="916" t="s">
        <v>4352</v>
      </c>
      <c r="E869" s="916"/>
      <c r="F869" s="916" t="s">
        <v>4309</v>
      </c>
      <c r="G869" s="915"/>
      <c r="H869" s="917">
        <v>2500</v>
      </c>
      <c r="I869" s="918"/>
      <c r="J869" s="917">
        <v>524650</v>
      </c>
    </row>
    <row r="870" spans="1:10">
      <c r="A870" t="s">
        <v>4597</v>
      </c>
      <c r="B870" s="915" t="s">
        <v>4422</v>
      </c>
      <c r="C870" s="915" t="str">
        <f t="shared" si="13"/>
        <v>3월</v>
      </c>
      <c r="D870" s="916" t="s">
        <v>4423</v>
      </c>
      <c r="E870" s="916"/>
      <c r="F870" s="916" t="s">
        <v>4424</v>
      </c>
      <c r="G870" s="915"/>
      <c r="H870" s="917">
        <v>2400</v>
      </c>
      <c r="I870" s="918"/>
      <c r="J870" s="918"/>
    </row>
    <row r="871" spans="1:10">
      <c r="A871" t="s">
        <v>4010</v>
      </c>
      <c r="B871" s="915" t="s">
        <v>3613</v>
      </c>
      <c r="C871" s="915" t="str">
        <f t="shared" si="13"/>
        <v>6월</v>
      </c>
      <c r="D871" s="916" t="s">
        <v>3964</v>
      </c>
      <c r="E871" s="916"/>
      <c r="F871" s="916" t="s">
        <v>3610</v>
      </c>
      <c r="G871" s="915"/>
      <c r="H871" s="917">
        <v>2400</v>
      </c>
      <c r="I871" s="918"/>
      <c r="J871" s="917">
        <v>1631620</v>
      </c>
    </row>
    <row r="872" spans="1:10">
      <c r="A872" t="s">
        <v>3871</v>
      </c>
      <c r="B872" s="915" t="s">
        <v>3680</v>
      </c>
      <c r="C872" s="915" t="str">
        <f t="shared" si="13"/>
        <v>2월</v>
      </c>
      <c r="D872" s="916" t="s">
        <v>3681</v>
      </c>
      <c r="E872" s="916"/>
      <c r="F872" s="916" t="s">
        <v>3683</v>
      </c>
      <c r="G872" s="915"/>
      <c r="H872" s="917">
        <v>2400</v>
      </c>
      <c r="I872" s="918"/>
      <c r="J872" s="918"/>
    </row>
    <row r="873" spans="1:10">
      <c r="A873" t="s">
        <v>3871</v>
      </c>
      <c r="B873" s="915" t="s">
        <v>3728</v>
      </c>
      <c r="C873" s="915" t="str">
        <f t="shared" si="13"/>
        <v>5월</v>
      </c>
      <c r="D873" s="916" t="s">
        <v>3660</v>
      </c>
      <c r="E873" s="916"/>
      <c r="F873" s="916" t="s">
        <v>3733</v>
      </c>
      <c r="G873" s="915"/>
      <c r="H873" s="917">
        <v>2400</v>
      </c>
      <c r="I873" s="918"/>
      <c r="J873" s="918"/>
    </row>
    <row r="874" spans="1:10">
      <c r="A874" t="s">
        <v>3871</v>
      </c>
      <c r="B874" s="915" t="s">
        <v>3728</v>
      </c>
      <c r="C874" s="915" t="str">
        <f t="shared" si="13"/>
        <v>5월</v>
      </c>
      <c r="D874" s="916" t="s">
        <v>3660</v>
      </c>
      <c r="E874" s="916"/>
      <c r="F874" s="916" t="s">
        <v>3734</v>
      </c>
      <c r="G874" s="915"/>
      <c r="H874" s="917">
        <v>2400</v>
      </c>
      <c r="I874" s="918"/>
      <c r="J874" s="917">
        <v>-1036190</v>
      </c>
    </row>
    <row r="875" spans="1:10">
      <c r="A875" t="s">
        <v>4110</v>
      </c>
      <c r="B875" s="915" t="s">
        <v>3667</v>
      </c>
      <c r="C875" s="915" t="str">
        <f t="shared" si="13"/>
        <v>2월</v>
      </c>
      <c r="D875" s="916" t="s">
        <v>4067</v>
      </c>
      <c r="E875" s="916"/>
      <c r="F875" s="916" t="s">
        <v>3733</v>
      </c>
      <c r="G875" s="915"/>
      <c r="H875" s="917">
        <v>2400</v>
      </c>
      <c r="I875" s="918"/>
      <c r="J875" s="918"/>
    </row>
    <row r="876" spans="1:10">
      <c r="A876" t="s">
        <v>4110</v>
      </c>
      <c r="B876" s="915" t="s">
        <v>3667</v>
      </c>
      <c r="C876" s="915" t="str">
        <f t="shared" si="13"/>
        <v>2월</v>
      </c>
      <c r="D876" s="916" t="s">
        <v>4067</v>
      </c>
      <c r="E876" s="916"/>
      <c r="F876" s="916" t="s">
        <v>4068</v>
      </c>
      <c r="G876" s="915"/>
      <c r="H876" s="917">
        <v>2400</v>
      </c>
      <c r="I876" s="918"/>
      <c r="J876" s="917">
        <v>60200</v>
      </c>
    </row>
    <row r="877" spans="1:10">
      <c r="A877" t="s">
        <v>4110</v>
      </c>
      <c r="B877" s="915" t="s">
        <v>4109</v>
      </c>
      <c r="C877" s="915" t="str">
        <f t="shared" si="13"/>
        <v>10월</v>
      </c>
      <c r="D877" s="916" t="s">
        <v>4101</v>
      </c>
      <c r="E877" s="916"/>
      <c r="F877" s="916" t="s">
        <v>3733</v>
      </c>
      <c r="G877" s="915"/>
      <c r="H877" s="917">
        <v>2400</v>
      </c>
      <c r="I877" s="918"/>
      <c r="J877" s="917">
        <v>508300</v>
      </c>
    </row>
    <row r="878" spans="1:10">
      <c r="A878" t="s">
        <v>4597</v>
      </c>
      <c r="B878" s="915" t="s">
        <v>4588</v>
      </c>
      <c r="C878" s="915" t="str">
        <f t="shared" si="13"/>
        <v>12월</v>
      </c>
      <c r="D878" s="916" t="s">
        <v>4589</v>
      </c>
      <c r="E878" s="916" t="s">
        <v>4369</v>
      </c>
      <c r="F878" s="916" t="s">
        <v>4370</v>
      </c>
      <c r="G878" s="915"/>
      <c r="H878" s="917">
        <v>2288</v>
      </c>
      <c r="I878" s="918"/>
      <c r="J878" s="917">
        <v>19802482</v>
      </c>
    </row>
    <row r="879" spans="1:10">
      <c r="A879" t="s">
        <v>4362</v>
      </c>
      <c r="B879" s="915" t="s">
        <v>4329</v>
      </c>
      <c r="C879" s="915" t="str">
        <f t="shared" si="13"/>
        <v>3월</v>
      </c>
      <c r="D879" s="916" t="s">
        <v>4330</v>
      </c>
      <c r="E879" s="916"/>
      <c r="F879" s="916" t="s">
        <v>4305</v>
      </c>
      <c r="G879" s="915"/>
      <c r="H879" s="917">
        <v>2170</v>
      </c>
      <c r="I879" s="918"/>
      <c r="J879" s="917">
        <v>272060</v>
      </c>
    </row>
    <row r="880" spans="1:10">
      <c r="A880" t="s">
        <v>4362</v>
      </c>
      <c r="B880" s="915" t="s">
        <v>3878</v>
      </c>
      <c r="C880" s="915" t="str">
        <f t="shared" si="13"/>
        <v>3월</v>
      </c>
      <c r="D880" s="916" t="s">
        <v>4330</v>
      </c>
      <c r="E880" s="916"/>
      <c r="F880" s="916" t="s">
        <v>4305</v>
      </c>
      <c r="G880" s="915"/>
      <c r="H880" s="917">
        <v>2170</v>
      </c>
      <c r="I880" s="918"/>
      <c r="J880" s="917">
        <v>274230</v>
      </c>
    </row>
    <row r="881" spans="1:10">
      <c r="A881" t="s">
        <v>4064</v>
      </c>
      <c r="B881" s="915" t="s">
        <v>3608</v>
      </c>
      <c r="C881" s="915" t="str">
        <f t="shared" si="13"/>
        <v>6월</v>
      </c>
      <c r="D881" s="916" t="s">
        <v>4038</v>
      </c>
      <c r="E881" s="916"/>
      <c r="F881" s="916" t="s">
        <v>4041</v>
      </c>
      <c r="G881" s="915"/>
      <c r="H881" s="917">
        <v>2100</v>
      </c>
      <c r="I881" s="918"/>
      <c r="J881" s="917">
        <v>388305</v>
      </c>
    </row>
    <row r="882" spans="1:10">
      <c r="A882" t="s">
        <v>4064</v>
      </c>
      <c r="B882" s="915" t="s">
        <v>3754</v>
      </c>
      <c r="C882" s="915" t="str">
        <f t="shared" si="13"/>
        <v>6월</v>
      </c>
      <c r="D882" s="916" t="s">
        <v>4042</v>
      </c>
      <c r="E882" s="916"/>
      <c r="F882" s="916" t="s">
        <v>4043</v>
      </c>
      <c r="G882" s="915"/>
      <c r="H882" s="917">
        <v>2100</v>
      </c>
      <c r="I882" s="918"/>
      <c r="J882" s="918"/>
    </row>
    <row r="883" spans="1:10">
      <c r="A883" t="s">
        <v>4597</v>
      </c>
      <c r="B883" s="915" t="s">
        <v>3632</v>
      </c>
      <c r="C883" s="915" t="str">
        <f t="shared" si="13"/>
        <v>1월</v>
      </c>
      <c r="D883" s="916" t="s">
        <v>4379</v>
      </c>
      <c r="E883" s="916"/>
      <c r="F883" s="916" t="s">
        <v>3194</v>
      </c>
      <c r="G883" s="915"/>
      <c r="H883" s="917">
        <v>2000</v>
      </c>
      <c r="I883" s="918"/>
      <c r="J883" s="918"/>
    </row>
    <row r="884" spans="1:10">
      <c r="A884" t="s">
        <v>4597</v>
      </c>
      <c r="B884" s="915" t="s">
        <v>3632</v>
      </c>
      <c r="C884" s="915" t="str">
        <f t="shared" si="13"/>
        <v>1월</v>
      </c>
      <c r="D884" s="916" t="s">
        <v>4379</v>
      </c>
      <c r="E884" s="916"/>
      <c r="F884" s="916" t="s">
        <v>3208</v>
      </c>
      <c r="G884" s="915"/>
      <c r="H884" s="917">
        <v>2000</v>
      </c>
      <c r="I884" s="918"/>
      <c r="J884" s="918"/>
    </row>
    <row r="885" spans="1:10">
      <c r="A885" t="s">
        <v>4597</v>
      </c>
      <c r="B885" s="915" t="s">
        <v>3632</v>
      </c>
      <c r="C885" s="915" t="str">
        <f t="shared" si="13"/>
        <v>1월</v>
      </c>
      <c r="D885" s="916" t="s">
        <v>4379</v>
      </c>
      <c r="E885" s="916"/>
      <c r="F885" s="916" t="s">
        <v>3197</v>
      </c>
      <c r="G885" s="915"/>
      <c r="H885" s="917">
        <v>2000</v>
      </c>
      <c r="I885" s="918"/>
      <c r="J885" s="918"/>
    </row>
    <row r="886" spans="1:10">
      <c r="A886" t="s">
        <v>4597</v>
      </c>
      <c r="B886" s="915" t="s">
        <v>4129</v>
      </c>
      <c r="C886" s="915" t="str">
        <f t="shared" si="13"/>
        <v>1월</v>
      </c>
      <c r="D886" s="916" t="s">
        <v>4387</v>
      </c>
      <c r="E886" s="916"/>
      <c r="F886" s="916" t="s">
        <v>4305</v>
      </c>
      <c r="G886" s="915"/>
      <c r="H886" s="917">
        <v>2000</v>
      </c>
      <c r="I886" s="918"/>
      <c r="J886" s="918"/>
    </row>
    <row r="887" spans="1:10">
      <c r="A887" t="s">
        <v>4597</v>
      </c>
      <c r="B887" s="915" t="s">
        <v>4129</v>
      </c>
      <c r="C887" s="915" t="str">
        <f t="shared" si="13"/>
        <v>1월</v>
      </c>
      <c r="D887" s="916" t="s">
        <v>4387</v>
      </c>
      <c r="E887" s="916"/>
      <c r="F887" s="916" t="s">
        <v>3193</v>
      </c>
      <c r="G887" s="915"/>
      <c r="H887" s="917">
        <v>2000</v>
      </c>
      <c r="I887" s="918"/>
      <c r="J887" s="918"/>
    </row>
    <row r="888" spans="1:10">
      <c r="A888" t="s">
        <v>4597</v>
      </c>
      <c r="B888" s="915" t="s">
        <v>4129</v>
      </c>
      <c r="C888" s="915" t="str">
        <f t="shared" si="13"/>
        <v>1월</v>
      </c>
      <c r="D888" s="916" t="s">
        <v>4387</v>
      </c>
      <c r="E888" s="916"/>
      <c r="F888" s="916" t="s">
        <v>4388</v>
      </c>
      <c r="G888" s="915"/>
      <c r="H888" s="917">
        <v>2000</v>
      </c>
      <c r="I888" s="918"/>
      <c r="J888" s="917">
        <v>193835</v>
      </c>
    </row>
    <row r="889" spans="1:10">
      <c r="A889" t="s">
        <v>4597</v>
      </c>
      <c r="B889" s="915" t="s">
        <v>3667</v>
      </c>
      <c r="C889" s="915" t="str">
        <f t="shared" si="13"/>
        <v>2월</v>
      </c>
      <c r="D889" s="916" t="s">
        <v>4405</v>
      </c>
      <c r="E889" s="916" t="s">
        <v>4256</v>
      </c>
      <c r="F889" s="916" t="s">
        <v>4257</v>
      </c>
      <c r="G889" s="915"/>
      <c r="H889" s="917">
        <v>2000</v>
      </c>
      <c r="I889" s="918"/>
      <c r="J889" s="918"/>
    </row>
    <row r="890" spans="1:10">
      <c r="A890" t="s">
        <v>4597</v>
      </c>
      <c r="B890" s="915" t="s">
        <v>4097</v>
      </c>
      <c r="C890" s="915" t="str">
        <f t="shared" si="13"/>
        <v>5월</v>
      </c>
      <c r="D890" s="916" t="s">
        <v>4469</v>
      </c>
      <c r="E890" s="916"/>
      <c r="F890" s="916" t="s">
        <v>4470</v>
      </c>
      <c r="G890" s="915"/>
      <c r="H890" s="917">
        <v>2000</v>
      </c>
      <c r="I890" s="918"/>
      <c r="J890" s="918"/>
    </row>
    <row r="891" spans="1:10">
      <c r="A891" t="s">
        <v>4597</v>
      </c>
      <c r="B891" s="915" t="s">
        <v>3747</v>
      </c>
      <c r="C891" s="915" t="str">
        <f t="shared" si="13"/>
        <v>5월</v>
      </c>
      <c r="D891" s="916" t="s">
        <v>4475</v>
      </c>
      <c r="E891" s="916"/>
      <c r="F891" s="916" t="s">
        <v>3197</v>
      </c>
      <c r="G891" s="915"/>
      <c r="H891" s="917">
        <v>2000</v>
      </c>
      <c r="I891" s="918"/>
      <c r="J891" s="918"/>
    </row>
    <row r="892" spans="1:10">
      <c r="A892" t="s">
        <v>4597</v>
      </c>
      <c r="B892" s="915" t="s">
        <v>3807</v>
      </c>
      <c r="C892" s="915" t="str">
        <f t="shared" si="13"/>
        <v>10월</v>
      </c>
      <c r="D892" s="916" t="s">
        <v>4546</v>
      </c>
      <c r="E892" s="916"/>
      <c r="F892" s="916" t="s">
        <v>3195</v>
      </c>
      <c r="G892" s="915"/>
      <c r="H892" s="917">
        <v>2000</v>
      </c>
      <c r="I892" s="918"/>
      <c r="J892" s="918"/>
    </row>
    <row r="893" spans="1:10">
      <c r="A893" t="s">
        <v>4110</v>
      </c>
      <c r="B893" s="915" t="s">
        <v>3687</v>
      </c>
      <c r="C893" s="915" t="str">
        <f t="shared" si="13"/>
        <v>2월</v>
      </c>
      <c r="D893" s="916" t="s">
        <v>3808</v>
      </c>
      <c r="E893" s="916"/>
      <c r="F893" s="916" t="s">
        <v>4076</v>
      </c>
      <c r="G893" s="915"/>
      <c r="H893" s="917">
        <v>2000</v>
      </c>
      <c r="I893" s="918"/>
      <c r="J893" s="918"/>
    </row>
    <row r="894" spans="1:10">
      <c r="A894" t="s">
        <v>4765</v>
      </c>
      <c r="B894" s="915" t="s">
        <v>3330</v>
      </c>
      <c r="C894" s="915" t="str">
        <f t="shared" si="13"/>
        <v>12월</v>
      </c>
      <c r="D894" s="916" t="s">
        <v>4756</v>
      </c>
      <c r="E894" s="916"/>
      <c r="F894" s="916" t="s">
        <v>4112</v>
      </c>
      <c r="G894" s="915"/>
      <c r="H894" s="917">
        <v>2000</v>
      </c>
      <c r="I894" s="918"/>
      <c r="J894" s="918"/>
    </row>
    <row r="895" spans="1:10">
      <c r="A895" t="s">
        <v>4362</v>
      </c>
      <c r="B895" s="915" t="s">
        <v>4145</v>
      </c>
      <c r="C895" s="915" t="str">
        <f t="shared" si="13"/>
        <v>12월</v>
      </c>
      <c r="D895" s="916" t="s">
        <v>4307</v>
      </c>
      <c r="E895" s="916" t="s">
        <v>4301</v>
      </c>
      <c r="F895" s="916" t="s">
        <v>4302</v>
      </c>
      <c r="G895" s="915" t="s">
        <v>4303</v>
      </c>
      <c r="H895" s="917">
        <v>1950</v>
      </c>
      <c r="I895" s="918"/>
      <c r="J895" s="917">
        <v>589360</v>
      </c>
    </row>
    <row r="896" spans="1:10">
      <c r="A896" t="s">
        <v>4362</v>
      </c>
      <c r="B896" s="915" t="s">
        <v>3649</v>
      </c>
      <c r="C896" s="915" t="str">
        <f t="shared" si="13"/>
        <v>1월</v>
      </c>
      <c r="D896" s="916" t="s">
        <v>4300</v>
      </c>
      <c r="E896" s="916" t="s">
        <v>4301</v>
      </c>
      <c r="F896" s="916" t="s">
        <v>4302</v>
      </c>
      <c r="G896" s="915" t="s">
        <v>4303</v>
      </c>
      <c r="H896" s="917">
        <v>1930</v>
      </c>
      <c r="I896" s="918"/>
      <c r="J896" s="917">
        <v>74930</v>
      </c>
    </row>
    <row r="897" spans="1:10">
      <c r="A897" t="s">
        <v>4362</v>
      </c>
      <c r="B897" s="915" t="s">
        <v>4139</v>
      </c>
      <c r="C897" s="915" t="str">
        <f t="shared" si="13"/>
        <v>5월</v>
      </c>
      <c r="D897" s="916" t="s">
        <v>4307</v>
      </c>
      <c r="E897" s="916" t="s">
        <v>4301</v>
      </c>
      <c r="F897" s="916" t="s">
        <v>4302</v>
      </c>
      <c r="G897" s="915" t="s">
        <v>4303</v>
      </c>
      <c r="H897" s="917">
        <v>1930</v>
      </c>
      <c r="I897" s="918"/>
      <c r="J897" s="917">
        <v>360500</v>
      </c>
    </row>
    <row r="898" spans="1:10">
      <c r="A898" t="s">
        <v>4362</v>
      </c>
      <c r="B898" s="915" t="s">
        <v>3889</v>
      </c>
      <c r="C898" s="915" t="str">
        <f t="shared" ref="C898:C961" si="14">MONTH(B898)&amp;"월"</f>
        <v>7월</v>
      </c>
      <c r="D898" s="916" t="s">
        <v>4307</v>
      </c>
      <c r="E898" s="916" t="s">
        <v>4301</v>
      </c>
      <c r="F898" s="916" t="s">
        <v>4302</v>
      </c>
      <c r="G898" s="915" t="s">
        <v>4303</v>
      </c>
      <c r="H898" s="917">
        <v>1930</v>
      </c>
      <c r="I898" s="918"/>
      <c r="J898" s="917">
        <v>398280</v>
      </c>
    </row>
    <row r="899" spans="1:10">
      <c r="A899" t="s">
        <v>4597</v>
      </c>
      <c r="B899" s="915" t="s">
        <v>3714</v>
      </c>
      <c r="C899" s="915" t="str">
        <f t="shared" si="14"/>
        <v>4월</v>
      </c>
      <c r="D899" s="916" t="s">
        <v>4440</v>
      </c>
      <c r="E899" s="916" t="s">
        <v>4369</v>
      </c>
      <c r="F899" s="916" t="s">
        <v>4370</v>
      </c>
      <c r="G899" s="915"/>
      <c r="H899" s="917">
        <v>1925</v>
      </c>
      <c r="I899" s="918"/>
      <c r="J899" s="917">
        <v>2269959</v>
      </c>
    </row>
    <row r="900" spans="1:10">
      <c r="A900" t="s">
        <v>4362</v>
      </c>
      <c r="B900" s="915" t="s">
        <v>4109</v>
      </c>
      <c r="C900" s="915" t="str">
        <f t="shared" si="14"/>
        <v>10월</v>
      </c>
      <c r="D900" s="916" t="s">
        <v>4307</v>
      </c>
      <c r="E900" s="916" t="s">
        <v>4301</v>
      </c>
      <c r="F900" s="916" t="s">
        <v>4302</v>
      </c>
      <c r="G900" s="915" t="s">
        <v>4303</v>
      </c>
      <c r="H900" s="917">
        <v>1860</v>
      </c>
      <c r="I900" s="918"/>
      <c r="J900" s="917">
        <v>522150</v>
      </c>
    </row>
    <row r="901" spans="1:10">
      <c r="A901" t="s">
        <v>4362</v>
      </c>
      <c r="B901" s="915" t="s">
        <v>3618</v>
      </c>
      <c r="C901" s="915" t="str">
        <f t="shared" si="14"/>
        <v>11월</v>
      </c>
      <c r="D901" s="916" t="s">
        <v>4307</v>
      </c>
      <c r="E901" s="916" t="s">
        <v>4301</v>
      </c>
      <c r="F901" s="916" t="s">
        <v>4302</v>
      </c>
      <c r="G901" s="915" t="s">
        <v>4303</v>
      </c>
      <c r="H901" s="917">
        <v>1860</v>
      </c>
      <c r="I901" s="918"/>
      <c r="J901" s="918"/>
    </row>
    <row r="902" spans="1:10">
      <c r="A902" t="s">
        <v>4362</v>
      </c>
      <c r="B902" s="915" t="s">
        <v>4355</v>
      </c>
      <c r="C902" s="915" t="str">
        <f t="shared" si="14"/>
        <v>12월</v>
      </c>
      <c r="D902" s="916" t="s">
        <v>4307</v>
      </c>
      <c r="E902" s="916"/>
      <c r="F902" s="916" t="s">
        <v>4305</v>
      </c>
      <c r="G902" s="915"/>
      <c r="H902" s="917">
        <v>1860</v>
      </c>
      <c r="I902" s="918"/>
      <c r="J902" s="917">
        <v>544410</v>
      </c>
    </row>
    <row r="903" spans="1:10">
      <c r="A903" t="s">
        <v>4362</v>
      </c>
      <c r="B903" s="915" t="s">
        <v>3719</v>
      </c>
      <c r="C903" s="915" t="str">
        <f t="shared" si="14"/>
        <v>4월</v>
      </c>
      <c r="D903" s="916" t="s">
        <v>4325</v>
      </c>
      <c r="E903" s="916"/>
      <c r="F903" s="916" t="s">
        <v>4331</v>
      </c>
      <c r="G903" s="915"/>
      <c r="H903" s="917">
        <v>1840</v>
      </c>
      <c r="I903" s="918"/>
      <c r="J903" s="917">
        <v>276070</v>
      </c>
    </row>
    <row r="904" spans="1:10">
      <c r="A904" t="s">
        <v>4362</v>
      </c>
      <c r="B904" s="915" t="s">
        <v>4337</v>
      </c>
      <c r="C904" s="915" t="str">
        <f t="shared" si="14"/>
        <v>6월</v>
      </c>
      <c r="D904" s="916" t="s">
        <v>4307</v>
      </c>
      <c r="E904" s="916" t="s">
        <v>4301</v>
      </c>
      <c r="F904" s="916" t="s">
        <v>4302</v>
      </c>
      <c r="G904" s="915" t="s">
        <v>4303</v>
      </c>
      <c r="H904" s="917">
        <v>1840</v>
      </c>
      <c r="I904" s="918"/>
      <c r="J904" s="917">
        <v>366340</v>
      </c>
    </row>
    <row r="905" spans="1:10">
      <c r="A905" t="s">
        <v>4362</v>
      </c>
      <c r="B905" s="915" t="s">
        <v>3777</v>
      </c>
      <c r="C905" s="915" t="str">
        <f t="shared" si="14"/>
        <v>8월</v>
      </c>
      <c r="D905" s="916" t="s">
        <v>4307</v>
      </c>
      <c r="E905" s="916" t="s">
        <v>4301</v>
      </c>
      <c r="F905" s="916" t="s">
        <v>4302</v>
      </c>
      <c r="G905" s="915" t="s">
        <v>4303</v>
      </c>
      <c r="H905" s="917">
        <v>1840</v>
      </c>
      <c r="I905" s="918"/>
      <c r="J905" s="917">
        <v>400120</v>
      </c>
    </row>
    <row r="906" spans="1:10">
      <c r="A906" t="s">
        <v>4597</v>
      </c>
      <c r="B906" s="915" t="s">
        <v>4553</v>
      </c>
      <c r="C906" s="915" t="str">
        <f t="shared" si="14"/>
        <v>11월</v>
      </c>
      <c r="D906" s="916" t="s">
        <v>4554</v>
      </c>
      <c r="E906" s="916" t="s">
        <v>4369</v>
      </c>
      <c r="F906" s="916" t="s">
        <v>4555</v>
      </c>
      <c r="G906" s="915"/>
      <c r="H906" s="917">
        <v>1760</v>
      </c>
      <c r="I906" s="918"/>
      <c r="J906" s="918"/>
    </row>
    <row r="907" spans="1:10">
      <c r="A907" t="s">
        <v>4597</v>
      </c>
      <c r="B907" s="915" t="s">
        <v>3667</v>
      </c>
      <c r="C907" s="915" t="str">
        <f t="shared" si="14"/>
        <v>2월</v>
      </c>
      <c r="D907" s="916" t="s">
        <v>4406</v>
      </c>
      <c r="E907" s="916" t="s">
        <v>4256</v>
      </c>
      <c r="F907" s="916" t="s">
        <v>4257</v>
      </c>
      <c r="G907" s="915"/>
      <c r="H907" s="917">
        <v>1600</v>
      </c>
      <c r="I907" s="918"/>
      <c r="J907" s="917">
        <v>592516</v>
      </c>
    </row>
    <row r="908" spans="1:10">
      <c r="A908" t="s">
        <v>4597</v>
      </c>
      <c r="B908" s="915" t="s">
        <v>3901</v>
      </c>
      <c r="C908" s="915" t="str">
        <f t="shared" si="14"/>
        <v>11월</v>
      </c>
      <c r="D908" s="916" t="s">
        <v>4571</v>
      </c>
      <c r="E908" s="916"/>
      <c r="F908" s="916" t="s">
        <v>4573</v>
      </c>
      <c r="G908" s="915"/>
      <c r="H908" s="917">
        <v>1600</v>
      </c>
      <c r="I908" s="918"/>
      <c r="J908" s="918"/>
    </row>
    <row r="909" spans="1:10">
      <c r="A909" t="s">
        <v>4597</v>
      </c>
      <c r="B909" s="915" t="s">
        <v>3601</v>
      </c>
      <c r="C909" s="915" t="str">
        <f t="shared" si="14"/>
        <v>2월</v>
      </c>
      <c r="D909" s="916" t="s">
        <v>4394</v>
      </c>
      <c r="E909" s="916" t="s">
        <v>4369</v>
      </c>
      <c r="F909" s="916" t="s">
        <v>4370</v>
      </c>
      <c r="G909" s="915"/>
      <c r="H909" s="917">
        <v>1507</v>
      </c>
      <c r="I909" s="918"/>
      <c r="J909" s="918"/>
    </row>
    <row r="910" spans="1:10">
      <c r="A910" t="s">
        <v>4597</v>
      </c>
      <c r="B910" s="915" t="s">
        <v>4019</v>
      </c>
      <c r="C910" s="915" t="str">
        <f t="shared" si="14"/>
        <v>3월</v>
      </c>
      <c r="D910" s="916" t="s">
        <v>4394</v>
      </c>
      <c r="E910" s="916" t="s">
        <v>4369</v>
      </c>
      <c r="F910" s="916" t="s">
        <v>4370</v>
      </c>
      <c r="G910" s="915"/>
      <c r="H910" s="917">
        <v>1507</v>
      </c>
      <c r="I910" s="918"/>
      <c r="J910" s="917">
        <v>1246435</v>
      </c>
    </row>
    <row r="911" spans="1:10">
      <c r="A911" t="s">
        <v>4597</v>
      </c>
      <c r="B911" s="915" t="s">
        <v>3714</v>
      </c>
      <c r="C911" s="915" t="str">
        <f t="shared" si="14"/>
        <v>4월</v>
      </c>
      <c r="D911" s="916" t="s">
        <v>4394</v>
      </c>
      <c r="E911" s="916" t="s">
        <v>4369</v>
      </c>
      <c r="F911" s="916" t="s">
        <v>4370</v>
      </c>
      <c r="G911" s="915"/>
      <c r="H911" s="917">
        <v>1507</v>
      </c>
      <c r="I911" s="918"/>
      <c r="J911" s="918"/>
    </row>
    <row r="912" spans="1:10">
      <c r="A912" t="s">
        <v>4064</v>
      </c>
      <c r="B912" s="915" t="s">
        <v>3754</v>
      </c>
      <c r="C912" s="915" t="str">
        <f t="shared" si="14"/>
        <v>6월</v>
      </c>
      <c r="D912" s="916" t="s">
        <v>4042</v>
      </c>
      <c r="E912" s="916"/>
      <c r="F912" s="916" t="s">
        <v>4043</v>
      </c>
      <c r="G912" s="915"/>
      <c r="H912" s="917">
        <v>1500</v>
      </c>
      <c r="I912" s="918"/>
      <c r="J912" s="918"/>
    </row>
    <row r="913" spans="1:10">
      <c r="A913" t="s">
        <v>4362</v>
      </c>
      <c r="B913" s="915" t="s">
        <v>3865</v>
      </c>
      <c r="C913" s="915" t="str">
        <f t="shared" si="14"/>
        <v>12월</v>
      </c>
      <c r="D913" s="916" t="s">
        <v>4360</v>
      </c>
      <c r="E913" s="916"/>
      <c r="F913" s="916" t="s">
        <v>4361</v>
      </c>
      <c r="G913" s="915"/>
      <c r="H913" s="917">
        <v>1500</v>
      </c>
      <c r="I913" s="918"/>
      <c r="J913" s="917">
        <v>590860</v>
      </c>
    </row>
    <row r="914" spans="1:10">
      <c r="A914" t="s">
        <v>4597</v>
      </c>
      <c r="B914" s="915" t="s">
        <v>3926</v>
      </c>
      <c r="C914" s="915" t="str">
        <f t="shared" si="14"/>
        <v>1월</v>
      </c>
      <c r="D914" s="916" t="s">
        <v>4395</v>
      </c>
      <c r="E914" s="916" t="s">
        <v>4365</v>
      </c>
      <c r="F914" s="916" t="s">
        <v>4366</v>
      </c>
      <c r="G914" s="915"/>
      <c r="H914" s="917">
        <v>1440</v>
      </c>
      <c r="I914" s="918"/>
      <c r="J914" s="917">
        <v>620389</v>
      </c>
    </row>
    <row r="915" spans="1:10">
      <c r="A915" t="s">
        <v>4597</v>
      </c>
      <c r="B915" s="915" t="s">
        <v>4236</v>
      </c>
      <c r="C915" s="915" t="str">
        <f t="shared" si="14"/>
        <v>2월</v>
      </c>
      <c r="D915" s="916" t="s">
        <v>4395</v>
      </c>
      <c r="E915" s="916" t="s">
        <v>4365</v>
      </c>
      <c r="F915" s="916" t="s">
        <v>4366</v>
      </c>
      <c r="G915" s="915"/>
      <c r="H915" s="917">
        <v>1440</v>
      </c>
      <c r="I915" s="918"/>
      <c r="J915" s="917">
        <v>1259616</v>
      </c>
    </row>
    <row r="916" spans="1:10">
      <c r="A916" t="s">
        <v>4597</v>
      </c>
      <c r="B916" s="915" t="s">
        <v>4186</v>
      </c>
      <c r="C916" s="915" t="str">
        <f t="shared" si="14"/>
        <v>5월</v>
      </c>
      <c r="D916" s="916" t="s">
        <v>4395</v>
      </c>
      <c r="E916" s="916" t="s">
        <v>4365</v>
      </c>
      <c r="F916" s="916" t="s">
        <v>4366</v>
      </c>
      <c r="G916" s="915"/>
      <c r="H916" s="917">
        <v>1280</v>
      </c>
      <c r="I916" s="918"/>
      <c r="J916" s="917">
        <v>12488500</v>
      </c>
    </row>
    <row r="917" spans="1:10">
      <c r="A917" t="s">
        <v>4597</v>
      </c>
      <c r="B917" s="915" t="s">
        <v>4266</v>
      </c>
      <c r="C917" s="915" t="str">
        <f t="shared" si="14"/>
        <v>7월</v>
      </c>
      <c r="D917" s="916" t="s">
        <v>4395</v>
      </c>
      <c r="E917" s="916" t="s">
        <v>4365</v>
      </c>
      <c r="F917" s="916" t="s">
        <v>4366</v>
      </c>
      <c r="G917" s="915"/>
      <c r="H917" s="917">
        <v>1280</v>
      </c>
      <c r="I917" s="918"/>
      <c r="J917" s="917">
        <v>17382260</v>
      </c>
    </row>
    <row r="918" spans="1:10">
      <c r="A918" t="s">
        <v>4597</v>
      </c>
      <c r="B918" s="915" t="s">
        <v>4570</v>
      </c>
      <c r="C918" s="915" t="str">
        <f t="shared" si="14"/>
        <v>11월</v>
      </c>
      <c r="D918" s="916" t="s">
        <v>4395</v>
      </c>
      <c r="E918" s="916" t="s">
        <v>4365</v>
      </c>
      <c r="F918" s="916" t="s">
        <v>4366</v>
      </c>
      <c r="G918" s="915"/>
      <c r="H918" s="917">
        <v>1240</v>
      </c>
      <c r="I918" s="918"/>
      <c r="J918" s="918"/>
    </row>
    <row r="919" spans="1:10">
      <c r="A919" t="s">
        <v>4597</v>
      </c>
      <c r="B919" s="915" t="s">
        <v>3328</v>
      </c>
      <c r="C919" s="915" t="str">
        <f t="shared" si="14"/>
        <v>12월</v>
      </c>
      <c r="D919" s="916" t="s">
        <v>4395</v>
      </c>
      <c r="E919" s="916" t="s">
        <v>4365</v>
      </c>
      <c r="F919" s="916" t="s">
        <v>4366</v>
      </c>
      <c r="G919" s="915"/>
      <c r="H919" s="917">
        <v>1220</v>
      </c>
      <c r="I919" s="918"/>
      <c r="J919" s="917">
        <v>20374472</v>
      </c>
    </row>
    <row r="920" spans="1:10">
      <c r="A920" t="s">
        <v>4597</v>
      </c>
      <c r="B920" s="915" t="s">
        <v>3700</v>
      </c>
      <c r="C920" s="915" t="str">
        <f t="shared" si="14"/>
        <v>3월</v>
      </c>
      <c r="D920" s="916" t="s">
        <v>4395</v>
      </c>
      <c r="E920" s="916" t="s">
        <v>4365</v>
      </c>
      <c r="F920" s="916" t="s">
        <v>4366</v>
      </c>
      <c r="G920" s="915"/>
      <c r="H920" s="917">
        <v>1180</v>
      </c>
      <c r="I920" s="918"/>
      <c r="J920" s="917">
        <v>2293155</v>
      </c>
    </row>
    <row r="921" spans="1:10">
      <c r="A921" t="s">
        <v>4597</v>
      </c>
      <c r="B921" s="915" t="s">
        <v>3720</v>
      </c>
      <c r="C921" s="915" t="str">
        <f t="shared" si="14"/>
        <v>4월</v>
      </c>
      <c r="D921" s="916" t="s">
        <v>4395</v>
      </c>
      <c r="E921" s="916" t="s">
        <v>4365</v>
      </c>
      <c r="F921" s="916" t="s">
        <v>4366</v>
      </c>
      <c r="G921" s="915"/>
      <c r="H921" s="917">
        <v>1160</v>
      </c>
      <c r="I921" s="918"/>
      <c r="J921" s="917">
        <v>11838079</v>
      </c>
    </row>
    <row r="922" spans="1:10">
      <c r="A922" t="s">
        <v>4597</v>
      </c>
      <c r="B922" s="915" t="s">
        <v>3608</v>
      </c>
      <c r="C922" s="915" t="str">
        <f t="shared" si="14"/>
        <v>6월</v>
      </c>
      <c r="D922" s="916" t="s">
        <v>4395</v>
      </c>
      <c r="E922" s="916" t="s">
        <v>4365</v>
      </c>
      <c r="F922" s="916" t="s">
        <v>4366</v>
      </c>
      <c r="G922" s="915"/>
      <c r="H922" s="917">
        <v>1160</v>
      </c>
      <c r="I922" s="918"/>
      <c r="J922" s="917">
        <v>16382895</v>
      </c>
    </row>
    <row r="923" spans="1:10">
      <c r="A923" t="s">
        <v>4597</v>
      </c>
      <c r="B923" s="915" t="s">
        <v>4334</v>
      </c>
      <c r="C923" s="915" t="str">
        <f t="shared" si="14"/>
        <v>5월</v>
      </c>
      <c r="D923" s="916" t="s">
        <v>4394</v>
      </c>
      <c r="E923" s="916" t="s">
        <v>4369</v>
      </c>
      <c r="F923" s="916" t="s">
        <v>4370</v>
      </c>
      <c r="G923" s="915"/>
      <c r="H923" s="917">
        <v>1155</v>
      </c>
      <c r="I923" s="918"/>
      <c r="J923" s="918"/>
    </row>
    <row r="924" spans="1:10">
      <c r="A924" t="s">
        <v>4597</v>
      </c>
      <c r="B924" s="915" t="s">
        <v>4527</v>
      </c>
      <c r="C924" s="915" t="str">
        <f t="shared" si="14"/>
        <v>8월</v>
      </c>
      <c r="D924" s="916" t="s">
        <v>4395</v>
      </c>
      <c r="E924" s="916" t="s">
        <v>4365</v>
      </c>
      <c r="F924" s="916" t="s">
        <v>4366</v>
      </c>
      <c r="G924" s="915"/>
      <c r="H924" s="917">
        <v>1140</v>
      </c>
      <c r="I924" s="918"/>
      <c r="J924" s="918"/>
    </row>
    <row r="925" spans="1:10">
      <c r="A925" t="s">
        <v>4597</v>
      </c>
      <c r="B925" s="915" t="s">
        <v>4052</v>
      </c>
      <c r="C925" s="915" t="str">
        <f t="shared" si="14"/>
        <v>9월</v>
      </c>
      <c r="D925" s="916" t="s">
        <v>4395</v>
      </c>
      <c r="E925" s="916" t="s">
        <v>4365</v>
      </c>
      <c r="F925" s="916" t="s">
        <v>4366</v>
      </c>
      <c r="G925" s="915"/>
      <c r="H925" s="917">
        <v>1140</v>
      </c>
      <c r="I925" s="918"/>
      <c r="J925" s="917">
        <v>18631614</v>
      </c>
    </row>
    <row r="926" spans="1:10">
      <c r="A926" t="s">
        <v>4597</v>
      </c>
      <c r="B926" s="915" t="s">
        <v>4547</v>
      </c>
      <c r="C926" s="915" t="str">
        <f t="shared" si="14"/>
        <v>10월</v>
      </c>
      <c r="D926" s="916" t="s">
        <v>4395</v>
      </c>
      <c r="E926" s="916" t="s">
        <v>4365</v>
      </c>
      <c r="F926" s="916" t="s">
        <v>4366</v>
      </c>
      <c r="G926" s="915"/>
      <c r="H926" s="917">
        <v>1140</v>
      </c>
      <c r="I926" s="918"/>
      <c r="J926" s="917">
        <v>19145899</v>
      </c>
    </row>
    <row r="927" spans="1:10">
      <c r="A927" t="s">
        <v>4597</v>
      </c>
      <c r="B927" s="915" t="s">
        <v>3747</v>
      </c>
      <c r="C927" s="915" t="str">
        <f t="shared" si="14"/>
        <v>5월</v>
      </c>
      <c r="D927" s="916" t="s">
        <v>4475</v>
      </c>
      <c r="E927" s="916"/>
      <c r="F927" s="916" t="s">
        <v>3208</v>
      </c>
      <c r="G927" s="915"/>
      <c r="H927" s="917">
        <v>1000</v>
      </c>
      <c r="I927" s="918"/>
      <c r="J927" s="918"/>
    </row>
    <row r="928" spans="1:10">
      <c r="A928" t="s">
        <v>4064</v>
      </c>
      <c r="B928" s="915" t="s">
        <v>3754</v>
      </c>
      <c r="C928" s="915" t="str">
        <f t="shared" si="14"/>
        <v>6월</v>
      </c>
      <c r="D928" s="916" t="s">
        <v>4042</v>
      </c>
      <c r="E928" s="916"/>
      <c r="F928" s="916" t="s">
        <v>4044</v>
      </c>
      <c r="G928" s="915"/>
      <c r="H928" s="917">
        <v>1000</v>
      </c>
      <c r="I928" s="918"/>
      <c r="J928" s="918"/>
    </row>
    <row r="929" spans="1:10">
      <c r="A929" t="s">
        <v>4597</v>
      </c>
      <c r="B929" s="915" t="s">
        <v>4177</v>
      </c>
      <c r="C929" s="915" t="str">
        <f t="shared" si="14"/>
        <v>3월</v>
      </c>
      <c r="D929" s="916" t="s">
        <v>4416</v>
      </c>
      <c r="E929" s="916" t="s">
        <v>4438</v>
      </c>
      <c r="F929" s="916" t="s">
        <v>4439</v>
      </c>
      <c r="G929" s="915"/>
      <c r="H929" s="917">
        <v>880</v>
      </c>
      <c r="I929" s="918"/>
      <c r="J929" s="917">
        <v>2250207</v>
      </c>
    </row>
    <row r="930" spans="1:10">
      <c r="A930" t="s">
        <v>4597</v>
      </c>
      <c r="B930" s="915" t="s">
        <v>3965</v>
      </c>
      <c r="C930" s="915" t="str">
        <f t="shared" si="14"/>
        <v>7월</v>
      </c>
      <c r="D930" s="916" t="s">
        <v>4496</v>
      </c>
      <c r="E930" s="916"/>
      <c r="F930" s="916" t="s">
        <v>4424</v>
      </c>
      <c r="G930" s="915"/>
      <c r="H930" s="917">
        <v>800</v>
      </c>
      <c r="I930" s="918"/>
      <c r="J930" s="918"/>
    </row>
    <row r="931" spans="1:10">
      <c r="A931" t="s">
        <v>4597</v>
      </c>
      <c r="B931" s="915" t="s">
        <v>3604</v>
      </c>
      <c r="C931" s="915" t="str">
        <f t="shared" si="14"/>
        <v>2월</v>
      </c>
      <c r="D931" s="916" t="s">
        <v>4416</v>
      </c>
      <c r="E931" s="916"/>
      <c r="F931" s="916" t="s">
        <v>4417</v>
      </c>
      <c r="G931" s="915"/>
      <c r="H931" s="917">
        <v>755</v>
      </c>
      <c r="I931" s="918"/>
      <c r="J931" s="917">
        <v>1285508</v>
      </c>
    </row>
    <row r="932" spans="1:10">
      <c r="A932" t="s">
        <v>4597</v>
      </c>
      <c r="B932" s="915" t="s">
        <v>4367</v>
      </c>
      <c r="C932" s="915" t="str">
        <f t="shared" si="14"/>
        <v>1월</v>
      </c>
      <c r="D932" s="916" t="s">
        <v>4371</v>
      </c>
      <c r="E932" s="916" t="s">
        <v>4369</v>
      </c>
      <c r="F932" s="916" t="s">
        <v>4370</v>
      </c>
      <c r="G932" s="915"/>
      <c r="H932" s="917">
        <v>748</v>
      </c>
      <c r="I932" s="918"/>
      <c r="J932" s="918"/>
    </row>
    <row r="933" spans="1:10">
      <c r="A933" t="s">
        <v>4597</v>
      </c>
      <c r="B933" s="915" t="s">
        <v>4011</v>
      </c>
      <c r="C933" s="915" t="str">
        <f t="shared" si="14"/>
        <v>2월</v>
      </c>
      <c r="D933" s="916" t="s">
        <v>4394</v>
      </c>
      <c r="E933" s="916" t="s">
        <v>4369</v>
      </c>
      <c r="F933" s="916" t="s">
        <v>4370</v>
      </c>
      <c r="G933" s="915"/>
      <c r="H933" s="917">
        <v>737</v>
      </c>
      <c r="I933" s="918"/>
      <c r="J933" s="918"/>
    </row>
    <row r="934" spans="1:10">
      <c r="A934" t="s">
        <v>4597</v>
      </c>
      <c r="B934" s="915" t="s">
        <v>3705</v>
      </c>
      <c r="C934" s="915" t="str">
        <f t="shared" si="14"/>
        <v>3월</v>
      </c>
      <c r="D934" s="916" t="s">
        <v>4394</v>
      </c>
      <c r="E934" s="916" t="s">
        <v>4369</v>
      </c>
      <c r="F934" s="916" t="s">
        <v>4370</v>
      </c>
      <c r="G934" s="915"/>
      <c r="H934" s="917">
        <v>737</v>
      </c>
      <c r="I934" s="918"/>
      <c r="J934" s="917">
        <v>2296447</v>
      </c>
    </row>
    <row r="935" spans="1:10">
      <c r="A935" t="s">
        <v>4597</v>
      </c>
      <c r="B935" s="915" t="s">
        <v>3881</v>
      </c>
      <c r="C935" s="915" t="str">
        <f t="shared" si="14"/>
        <v>4월</v>
      </c>
      <c r="D935" s="916" t="s">
        <v>4453</v>
      </c>
      <c r="E935" s="916" t="s">
        <v>4369</v>
      </c>
      <c r="F935" s="916" t="s">
        <v>4370</v>
      </c>
      <c r="G935" s="915"/>
      <c r="H935" s="917">
        <v>737</v>
      </c>
      <c r="I935" s="918"/>
      <c r="J935" s="917">
        <v>11838816</v>
      </c>
    </row>
    <row r="936" spans="1:10">
      <c r="A936" t="s">
        <v>4597</v>
      </c>
      <c r="B936" s="915" t="s">
        <v>4097</v>
      </c>
      <c r="C936" s="915" t="str">
        <f t="shared" si="14"/>
        <v>5월</v>
      </c>
      <c r="D936" s="916" t="s">
        <v>4453</v>
      </c>
      <c r="E936" s="916" t="s">
        <v>4369</v>
      </c>
      <c r="F936" s="916" t="s">
        <v>4370</v>
      </c>
      <c r="G936" s="915"/>
      <c r="H936" s="917">
        <v>737</v>
      </c>
      <c r="I936" s="918"/>
      <c r="J936" s="918"/>
    </row>
    <row r="937" spans="1:10">
      <c r="A937" t="s">
        <v>4362</v>
      </c>
      <c r="B937" s="915" t="s">
        <v>3618</v>
      </c>
      <c r="C937" s="915" t="str">
        <f t="shared" si="14"/>
        <v>11월</v>
      </c>
      <c r="D937" s="916" t="s">
        <v>4307</v>
      </c>
      <c r="E937" s="916" t="s">
        <v>4301</v>
      </c>
      <c r="F937" s="916" t="s">
        <v>4302</v>
      </c>
      <c r="G937" s="915" t="s">
        <v>4303</v>
      </c>
      <c r="H937" s="917">
        <v>540</v>
      </c>
      <c r="I937" s="918"/>
      <c r="J937" s="917">
        <v>527050</v>
      </c>
    </row>
    <row r="938" spans="1:10">
      <c r="A938" t="s">
        <v>4597</v>
      </c>
      <c r="B938" s="915" t="s">
        <v>4138</v>
      </c>
      <c r="C938" s="915" t="str">
        <f t="shared" si="14"/>
        <v>4월</v>
      </c>
      <c r="D938" s="916" t="s">
        <v>4452</v>
      </c>
      <c r="E938" s="916"/>
      <c r="F938" s="916" t="s">
        <v>3194</v>
      </c>
      <c r="G938" s="915"/>
      <c r="H938" s="917">
        <v>500</v>
      </c>
      <c r="I938" s="918"/>
      <c r="J938" s="917">
        <v>11836919</v>
      </c>
    </row>
    <row r="939" spans="1:10">
      <c r="A939" t="s">
        <v>4597</v>
      </c>
      <c r="B939" s="915" t="s">
        <v>3747</v>
      </c>
      <c r="C939" s="915" t="str">
        <f t="shared" si="14"/>
        <v>5월</v>
      </c>
      <c r="D939" s="916" t="s">
        <v>4475</v>
      </c>
      <c r="E939" s="916"/>
      <c r="F939" s="916" t="s">
        <v>3194</v>
      </c>
      <c r="G939" s="915"/>
      <c r="H939" s="917">
        <v>500</v>
      </c>
      <c r="I939" s="918"/>
      <c r="J939" s="918"/>
    </row>
    <row r="940" spans="1:10">
      <c r="A940" t="s">
        <v>4597</v>
      </c>
      <c r="B940" s="915" t="s">
        <v>3747</v>
      </c>
      <c r="C940" s="915" t="str">
        <f t="shared" si="14"/>
        <v>5월</v>
      </c>
      <c r="D940" s="916" t="s">
        <v>4475</v>
      </c>
      <c r="E940" s="916"/>
      <c r="F940" s="916" t="s">
        <v>3194</v>
      </c>
      <c r="G940" s="915"/>
      <c r="H940" s="917">
        <v>500</v>
      </c>
      <c r="I940" s="918"/>
      <c r="J940" s="918"/>
    </row>
    <row r="941" spans="1:10">
      <c r="A941" t="s">
        <v>4597</v>
      </c>
      <c r="B941" s="915" t="s">
        <v>3747</v>
      </c>
      <c r="C941" s="915" t="str">
        <f t="shared" si="14"/>
        <v>5월</v>
      </c>
      <c r="D941" s="916" t="s">
        <v>4475</v>
      </c>
      <c r="E941" s="916"/>
      <c r="F941" s="916" t="s">
        <v>3197</v>
      </c>
      <c r="G941" s="915"/>
      <c r="H941" s="917">
        <v>500</v>
      </c>
      <c r="I941" s="918"/>
      <c r="J941" s="918"/>
    </row>
    <row r="942" spans="1:10">
      <c r="A942" t="s">
        <v>4597</v>
      </c>
      <c r="B942" s="915" t="s">
        <v>4483</v>
      </c>
      <c r="C942" s="915" t="str">
        <f t="shared" si="14"/>
        <v>6월</v>
      </c>
      <c r="D942" s="916" t="s">
        <v>4484</v>
      </c>
      <c r="E942" s="916" t="s">
        <v>4485</v>
      </c>
      <c r="F942" s="916" t="s">
        <v>4486</v>
      </c>
      <c r="G942" s="915"/>
      <c r="H942" s="917">
        <v>500</v>
      </c>
      <c r="I942" s="918"/>
      <c r="J942" s="918"/>
    </row>
    <row r="943" spans="1:10">
      <c r="A943" t="s">
        <v>4597</v>
      </c>
      <c r="B943" s="915" t="s">
        <v>4483</v>
      </c>
      <c r="C943" s="915" t="str">
        <f t="shared" si="14"/>
        <v>6월</v>
      </c>
      <c r="D943" s="916" t="s">
        <v>4487</v>
      </c>
      <c r="E943" s="916" t="s">
        <v>4485</v>
      </c>
      <c r="F943" s="916" t="s">
        <v>4486</v>
      </c>
      <c r="G943" s="915"/>
      <c r="H943" s="917">
        <v>500</v>
      </c>
      <c r="I943" s="918"/>
      <c r="J943" s="918"/>
    </row>
    <row r="944" spans="1:10">
      <c r="A944" t="s">
        <v>4597</v>
      </c>
      <c r="B944" s="915" t="s">
        <v>4483</v>
      </c>
      <c r="C944" s="915" t="str">
        <f t="shared" si="14"/>
        <v>6월</v>
      </c>
      <c r="D944" s="916" t="s">
        <v>4488</v>
      </c>
      <c r="E944" s="916" t="s">
        <v>4489</v>
      </c>
      <c r="F944" s="916" t="s">
        <v>4490</v>
      </c>
      <c r="G944" s="915"/>
      <c r="H944" s="917">
        <v>500</v>
      </c>
      <c r="I944" s="918"/>
      <c r="J944" s="917">
        <v>15849293</v>
      </c>
    </row>
    <row r="945" spans="1:10">
      <c r="A945" t="s">
        <v>4597</v>
      </c>
      <c r="B945" s="915" t="s">
        <v>4338</v>
      </c>
      <c r="C945" s="915" t="str">
        <f t="shared" si="14"/>
        <v>6월</v>
      </c>
      <c r="D945" s="916" t="s">
        <v>4484</v>
      </c>
      <c r="E945" s="916" t="s">
        <v>4489</v>
      </c>
      <c r="F945" s="916" t="s">
        <v>4490</v>
      </c>
      <c r="G945" s="915"/>
      <c r="H945" s="917">
        <v>500</v>
      </c>
      <c r="I945" s="918"/>
      <c r="J945" s="918"/>
    </row>
    <row r="946" spans="1:10">
      <c r="A946" t="s">
        <v>4597</v>
      </c>
      <c r="B946" s="915" t="s">
        <v>4338</v>
      </c>
      <c r="C946" s="915" t="str">
        <f t="shared" si="14"/>
        <v>6월</v>
      </c>
      <c r="D946" s="916" t="s">
        <v>4484</v>
      </c>
      <c r="E946" s="916" t="s">
        <v>4489</v>
      </c>
      <c r="F946" s="916" t="s">
        <v>4490</v>
      </c>
      <c r="G946" s="915"/>
      <c r="H946" s="917">
        <v>500</v>
      </c>
      <c r="I946" s="918"/>
      <c r="J946" s="918"/>
    </row>
    <row r="947" spans="1:10">
      <c r="A947" t="s">
        <v>4597</v>
      </c>
      <c r="B947" s="915" t="s">
        <v>4499</v>
      </c>
      <c r="C947" s="915" t="str">
        <f t="shared" si="14"/>
        <v>7월</v>
      </c>
      <c r="D947" s="916" t="s">
        <v>4500</v>
      </c>
      <c r="E947" s="916" t="s">
        <v>4489</v>
      </c>
      <c r="F947" s="916" t="s">
        <v>4501</v>
      </c>
      <c r="G947" s="915"/>
      <c r="H947" s="917">
        <v>500</v>
      </c>
      <c r="I947" s="918"/>
      <c r="J947" s="918"/>
    </row>
    <row r="948" spans="1:10">
      <c r="A948" t="s">
        <v>4597</v>
      </c>
      <c r="B948" s="915" t="s">
        <v>4499</v>
      </c>
      <c r="C948" s="915" t="str">
        <f t="shared" si="14"/>
        <v>7월</v>
      </c>
      <c r="D948" s="916" t="s">
        <v>4502</v>
      </c>
      <c r="E948" s="916" t="s">
        <v>4489</v>
      </c>
      <c r="F948" s="916" t="s">
        <v>4490</v>
      </c>
      <c r="G948" s="915"/>
      <c r="H948" s="917">
        <v>500</v>
      </c>
      <c r="I948" s="918"/>
      <c r="J948" s="917">
        <v>16406475</v>
      </c>
    </row>
    <row r="949" spans="1:10">
      <c r="A949" t="s">
        <v>4597</v>
      </c>
      <c r="B949" s="915" t="s">
        <v>3326</v>
      </c>
      <c r="C949" s="915" t="str">
        <f t="shared" si="14"/>
        <v>7월</v>
      </c>
      <c r="D949" s="916" t="s">
        <v>4511</v>
      </c>
      <c r="E949" s="916" t="s">
        <v>4256</v>
      </c>
      <c r="F949" s="916" t="s">
        <v>4257</v>
      </c>
      <c r="G949" s="915"/>
      <c r="H949" s="917">
        <v>500</v>
      </c>
      <c r="I949" s="918"/>
      <c r="J949" s="917">
        <v>17694723</v>
      </c>
    </row>
    <row r="950" spans="1:10">
      <c r="A950" t="s">
        <v>4597</v>
      </c>
      <c r="B950" s="915" t="s">
        <v>3776</v>
      </c>
      <c r="C950" s="915" t="str">
        <f t="shared" si="14"/>
        <v>7월</v>
      </c>
      <c r="D950" s="916" t="s">
        <v>4500</v>
      </c>
      <c r="E950" s="916" t="s">
        <v>4489</v>
      </c>
      <c r="F950" s="916" t="s">
        <v>4501</v>
      </c>
      <c r="G950" s="915"/>
      <c r="H950" s="917">
        <v>500</v>
      </c>
      <c r="I950" s="918"/>
      <c r="J950" s="918"/>
    </row>
    <row r="951" spans="1:10">
      <c r="A951" t="s">
        <v>4597</v>
      </c>
      <c r="B951" s="915" t="s">
        <v>3776</v>
      </c>
      <c r="C951" s="915" t="str">
        <f t="shared" si="14"/>
        <v>7월</v>
      </c>
      <c r="D951" s="916" t="s">
        <v>4514</v>
      </c>
      <c r="E951" s="916" t="s">
        <v>4489</v>
      </c>
      <c r="F951" s="916" t="s">
        <v>4501</v>
      </c>
      <c r="G951" s="915"/>
      <c r="H951" s="917">
        <v>500</v>
      </c>
      <c r="I951" s="918"/>
      <c r="J951" s="918"/>
    </row>
    <row r="952" spans="1:10">
      <c r="A952" t="s">
        <v>4597</v>
      </c>
      <c r="B952" s="915" t="s">
        <v>3776</v>
      </c>
      <c r="C952" s="915" t="str">
        <f t="shared" si="14"/>
        <v>7월</v>
      </c>
      <c r="D952" s="916" t="s">
        <v>4515</v>
      </c>
      <c r="E952" s="916" t="s">
        <v>4489</v>
      </c>
      <c r="F952" s="916" t="s">
        <v>4501</v>
      </c>
      <c r="G952" s="915"/>
      <c r="H952" s="917">
        <v>500</v>
      </c>
      <c r="I952" s="918"/>
      <c r="J952" s="918"/>
    </row>
    <row r="953" spans="1:10">
      <c r="A953" t="s">
        <v>4597</v>
      </c>
      <c r="B953" s="915" t="s">
        <v>3776</v>
      </c>
      <c r="C953" s="915" t="str">
        <f t="shared" si="14"/>
        <v>7월</v>
      </c>
      <c r="D953" s="916" t="s">
        <v>4516</v>
      </c>
      <c r="E953" s="916" t="s">
        <v>4489</v>
      </c>
      <c r="F953" s="916" t="s">
        <v>4501</v>
      </c>
      <c r="G953" s="915"/>
      <c r="H953" s="917">
        <v>500</v>
      </c>
      <c r="I953" s="918"/>
      <c r="J953" s="917">
        <v>17530047</v>
      </c>
    </row>
    <row r="954" spans="1:10">
      <c r="A954" t="s">
        <v>4597</v>
      </c>
      <c r="B954" s="915" t="s">
        <v>4142</v>
      </c>
      <c r="C954" s="915" t="str">
        <f t="shared" si="14"/>
        <v>8월</v>
      </c>
      <c r="D954" s="916" t="s">
        <v>4516</v>
      </c>
      <c r="E954" s="916" t="s">
        <v>4489</v>
      </c>
      <c r="F954" s="916" t="s">
        <v>4501</v>
      </c>
      <c r="G954" s="915"/>
      <c r="H954" s="917">
        <v>500</v>
      </c>
      <c r="I954" s="918"/>
      <c r="J954" s="918"/>
    </row>
    <row r="955" spans="1:10">
      <c r="A955" t="s">
        <v>4597</v>
      </c>
      <c r="B955" s="915" t="s">
        <v>4142</v>
      </c>
      <c r="C955" s="915" t="str">
        <f t="shared" si="14"/>
        <v>8월</v>
      </c>
      <c r="D955" s="916" t="s">
        <v>4514</v>
      </c>
      <c r="E955" s="916" t="s">
        <v>4489</v>
      </c>
      <c r="F955" s="916" t="s">
        <v>4501</v>
      </c>
      <c r="G955" s="915"/>
      <c r="H955" s="917">
        <v>500</v>
      </c>
      <c r="I955" s="918"/>
      <c r="J955" s="917">
        <v>18077796</v>
      </c>
    </row>
    <row r="956" spans="1:10">
      <c r="A956" t="s">
        <v>4597</v>
      </c>
      <c r="B956" s="915" t="s">
        <v>4537</v>
      </c>
      <c r="C956" s="915" t="str">
        <f t="shared" si="14"/>
        <v>9월</v>
      </c>
      <c r="D956" s="916" t="s">
        <v>4500</v>
      </c>
      <c r="E956" s="916" t="s">
        <v>4489</v>
      </c>
      <c r="F956" s="916" t="s">
        <v>4501</v>
      </c>
      <c r="G956" s="915"/>
      <c r="H956" s="917">
        <v>500</v>
      </c>
      <c r="I956" s="918"/>
      <c r="J956" s="918"/>
    </row>
    <row r="957" spans="1:10">
      <c r="A957" t="s">
        <v>4597</v>
      </c>
      <c r="B957" s="915" t="s">
        <v>4537</v>
      </c>
      <c r="C957" s="915" t="str">
        <f t="shared" si="14"/>
        <v>9월</v>
      </c>
      <c r="D957" s="916" t="s">
        <v>4516</v>
      </c>
      <c r="E957" s="916" t="s">
        <v>4489</v>
      </c>
      <c r="F957" s="916" t="s">
        <v>4501</v>
      </c>
      <c r="G957" s="915"/>
      <c r="H957" s="917">
        <v>500</v>
      </c>
      <c r="I957" s="918"/>
      <c r="J957" s="917">
        <v>18039029</v>
      </c>
    </row>
    <row r="958" spans="1:10">
      <c r="A958" t="s">
        <v>4597</v>
      </c>
      <c r="B958" s="915" t="s">
        <v>4556</v>
      </c>
      <c r="C958" s="915" t="str">
        <f t="shared" si="14"/>
        <v>11월</v>
      </c>
      <c r="D958" s="916" t="s">
        <v>4557</v>
      </c>
      <c r="E958" s="916" t="s">
        <v>4558</v>
      </c>
      <c r="F958" s="916" t="s">
        <v>4559</v>
      </c>
      <c r="G958" s="915"/>
      <c r="H958" s="917">
        <v>500</v>
      </c>
      <c r="I958" s="918"/>
      <c r="J958" s="918"/>
    </row>
    <row r="959" spans="1:10">
      <c r="A959" t="s">
        <v>4597</v>
      </c>
      <c r="B959" s="915" t="s">
        <v>4556</v>
      </c>
      <c r="C959" s="915" t="str">
        <f t="shared" si="14"/>
        <v>11월</v>
      </c>
      <c r="D959" s="916" t="s">
        <v>4557</v>
      </c>
      <c r="E959" s="916" t="s">
        <v>4560</v>
      </c>
      <c r="F959" s="916" t="s">
        <v>4561</v>
      </c>
      <c r="G959" s="915"/>
      <c r="H959" s="917">
        <v>500</v>
      </c>
      <c r="I959" s="918"/>
      <c r="J959" s="918"/>
    </row>
    <row r="960" spans="1:10">
      <c r="A960" t="s">
        <v>4597</v>
      </c>
      <c r="B960" s="915" t="s">
        <v>4556</v>
      </c>
      <c r="C960" s="915" t="str">
        <f t="shared" si="14"/>
        <v>11월</v>
      </c>
      <c r="D960" s="916" t="s">
        <v>4557</v>
      </c>
      <c r="E960" s="916" t="s">
        <v>4562</v>
      </c>
      <c r="F960" s="916" t="s">
        <v>4563</v>
      </c>
      <c r="G960" s="915"/>
      <c r="H960" s="917">
        <v>500</v>
      </c>
      <c r="I960" s="918"/>
      <c r="J960" s="918"/>
    </row>
    <row r="961" spans="1:10">
      <c r="A961" t="s">
        <v>4597</v>
      </c>
      <c r="B961" s="915" t="s">
        <v>3901</v>
      </c>
      <c r="C961" s="915" t="str">
        <f t="shared" si="14"/>
        <v>11월</v>
      </c>
      <c r="D961" s="916" t="s">
        <v>4577</v>
      </c>
      <c r="E961" s="916" t="s">
        <v>4578</v>
      </c>
      <c r="F961" s="916" t="s">
        <v>694</v>
      </c>
      <c r="G961" s="915"/>
      <c r="H961" s="917">
        <v>500</v>
      </c>
      <c r="I961" s="918"/>
      <c r="J961" s="918"/>
    </row>
    <row r="962" spans="1:10">
      <c r="A962" t="s">
        <v>4597</v>
      </c>
      <c r="B962" s="915" t="s">
        <v>3901</v>
      </c>
      <c r="C962" s="915" t="str">
        <f t="shared" ref="C962:C1025" si="15">MONTH(B962)&amp;"월"</f>
        <v>11월</v>
      </c>
      <c r="D962" s="916" t="s">
        <v>4557</v>
      </c>
      <c r="E962" s="916" t="s">
        <v>4562</v>
      </c>
      <c r="F962" s="916" t="s">
        <v>4563</v>
      </c>
      <c r="G962" s="915"/>
      <c r="H962" s="917">
        <v>500</v>
      </c>
      <c r="I962" s="918"/>
      <c r="J962" s="918"/>
    </row>
    <row r="963" spans="1:10">
      <c r="A963" t="s">
        <v>4597</v>
      </c>
      <c r="B963" s="915" t="s">
        <v>3901</v>
      </c>
      <c r="C963" s="915" t="str">
        <f t="shared" si="15"/>
        <v>11월</v>
      </c>
      <c r="D963" s="916" t="s">
        <v>4557</v>
      </c>
      <c r="E963" s="916" t="s">
        <v>4369</v>
      </c>
      <c r="F963" s="916" t="s">
        <v>4555</v>
      </c>
      <c r="G963" s="915"/>
      <c r="H963" s="917">
        <v>500</v>
      </c>
      <c r="I963" s="918"/>
      <c r="J963" s="918"/>
    </row>
    <row r="964" spans="1:10">
      <c r="A964" t="s">
        <v>4597</v>
      </c>
      <c r="B964" s="915" t="s">
        <v>3901</v>
      </c>
      <c r="C964" s="915" t="str">
        <f t="shared" si="15"/>
        <v>11월</v>
      </c>
      <c r="D964" s="916" t="s">
        <v>4557</v>
      </c>
      <c r="E964" s="916" t="s">
        <v>4579</v>
      </c>
      <c r="F964" s="916" t="s">
        <v>4580</v>
      </c>
      <c r="G964" s="915"/>
      <c r="H964" s="917">
        <v>500</v>
      </c>
      <c r="I964" s="918"/>
      <c r="J964" s="918"/>
    </row>
    <row r="965" spans="1:10">
      <c r="A965" t="s">
        <v>4597</v>
      </c>
      <c r="B965" s="915" t="s">
        <v>3901</v>
      </c>
      <c r="C965" s="915" t="str">
        <f t="shared" si="15"/>
        <v>11월</v>
      </c>
      <c r="D965" s="916" t="s">
        <v>4557</v>
      </c>
      <c r="E965" s="916" t="s">
        <v>4581</v>
      </c>
      <c r="F965" s="916" t="s">
        <v>4582</v>
      </c>
      <c r="G965" s="915"/>
      <c r="H965" s="917">
        <v>500</v>
      </c>
      <c r="I965" s="918"/>
      <c r="J965" s="918"/>
    </row>
    <row r="966" spans="1:10">
      <c r="A966" t="s">
        <v>4597</v>
      </c>
      <c r="B966" s="915" t="s">
        <v>3901</v>
      </c>
      <c r="C966" s="915" t="str">
        <f t="shared" si="15"/>
        <v>11월</v>
      </c>
      <c r="D966" s="916" t="s">
        <v>4557</v>
      </c>
      <c r="E966" s="916"/>
      <c r="F966" s="916"/>
      <c r="G966" s="915"/>
      <c r="H966" s="917">
        <v>500</v>
      </c>
      <c r="I966" s="918"/>
      <c r="J966" s="918"/>
    </row>
    <row r="967" spans="1:10">
      <c r="A967" t="s">
        <v>4597</v>
      </c>
      <c r="B967" s="915" t="s">
        <v>3901</v>
      </c>
      <c r="C967" s="915" t="str">
        <f t="shared" si="15"/>
        <v>11월</v>
      </c>
      <c r="D967" s="916" t="s">
        <v>4557</v>
      </c>
      <c r="E967" s="916"/>
      <c r="F967" s="916"/>
      <c r="G967" s="915"/>
      <c r="H967" s="917">
        <v>500</v>
      </c>
      <c r="I967" s="918"/>
      <c r="J967" s="918"/>
    </row>
    <row r="968" spans="1:10">
      <c r="A968" t="s">
        <v>4597</v>
      </c>
      <c r="B968" s="915" t="s">
        <v>3901</v>
      </c>
      <c r="C968" s="915" t="str">
        <f t="shared" si="15"/>
        <v>11월</v>
      </c>
      <c r="D968" s="916" t="s">
        <v>4557</v>
      </c>
      <c r="E968" s="916"/>
      <c r="F968" s="916"/>
      <c r="G968" s="915"/>
      <c r="H968" s="917">
        <v>500</v>
      </c>
      <c r="I968" s="918"/>
      <c r="J968" s="917">
        <v>19721214</v>
      </c>
    </row>
    <row r="969" spans="1:10">
      <c r="A969" t="s">
        <v>4597</v>
      </c>
      <c r="B969" s="915" t="s">
        <v>4207</v>
      </c>
      <c r="C969" s="915" t="str">
        <f t="shared" si="15"/>
        <v>9월</v>
      </c>
      <c r="D969" s="916" t="s">
        <v>4416</v>
      </c>
      <c r="E969" s="916" t="s">
        <v>4438</v>
      </c>
      <c r="F969" s="916" t="s">
        <v>4439</v>
      </c>
      <c r="G969" s="915"/>
      <c r="H969" s="917">
        <v>440</v>
      </c>
      <c r="I969" s="918"/>
      <c r="J969" s="918"/>
    </row>
    <row r="970" spans="1:10">
      <c r="A970" t="s">
        <v>4597</v>
      </c>
      <c r="B970" s="915" t="s">
        <v>3901</v>
      </c>
      <c r="C970" s="915" t="str">
        <f t="shared" si="15"/>
        <v>11월</v>
      </c>
      <c r="D970" s="916" t="s">
        <v>4574</v>
      </c>
      <c r="E970" s="916" t="s">
        <v>4575</v>
      </c>
      <c r="F970" s="916" t="s">
        <v>4576</v>
      </c>
      <c r="G970" s="915"/>
      <c r="H970" s="917">
        <v>400</v>
      </c>
      <c r="I970" s="918"/>
      <c r="J970" s="918"/>
    </row>
    <row r="971" spans="1:10">
      <c r="A971" t="s">
        <v>4597</v>
      </c>
      <c r="B971" s="915" t="s">
        <v>3749</v>
      </c>
      <c r="C971" s="915" t="str">
        <f t="shared" si="15"/>
        <v>6월</v>
      </c>
      <c r="D971" s="916" t="s">
        <v>4479</v>
      </c>
      <c r="E971" s="916" t="s">
        <v>4369</v>
      </c>
      <c r="F971" s="916" t="s">
        <v>4370</v>
      </c>
      <c r="G971" s="915"/>
      <c r="H971" s="917">
        <v>385</v>
      </c>
      <c r="I971" s="918"/>
      <c r="J971" s="918"/>
    </row>
    <row r="972" spans="1:10">
      <c r="A972" t="s">
        <v>4597</v>
      </c>
      <c r="B972" s="915" t="s">
        <v>4492</v>
      </c>
      <c r="C972" s="915" t="str">
        <f t="shared" si="15"/>
        <v>6월</v>
      </c>
      <c r="D972" s="916" t="s">
        <v>4493</v>
      </c>
      <c r="E972" s="916" t="s">
        <v>4369</v>
      </c>
      <c r="F972" s="916" t="s">
        <v>4370</v>
      </c>
      <c r="G972" s="915"/>
      <c r="H972" s="917">
        <v>385</v>
      </c>
      <c r="I972" s="918"/>
      <c r="J972" s="918"/>
    </row>
    <row r="973" spans="1:10">
      <c r="A973" t="s">
        <v>4597</v>
      </c>
      <c r="B973" s="915" t="s">
        <v>4503</v>
      </c>
      <c r="C973" s="915" t="str">
        <f t="shared" si="15"/>
        <v>7월</v>
      </c>
      <c r="D973" s="916" t="s">
        <v>4479</v>
      </c>
      <c r="E973" s="916" t="s">
        <v>4369</v>
      </c>
      <c r="F973" s="916" t="s">
        <v>4370</v>
      </c>
      <c r="G973" s="915"/>
      <c r="H973" s="917">
        <v>385</v>
      </c>
      <c r="I973" s="918"/>
      <c r="J973" s="918"/>
    </row>
    <row r="974" spans="1:10">
      <c r="A974" t="s">
        <v>4597</v>
      </c>
      <c r="B974" s="915" t="s">
        <v>4519</v>
      </c>
      <c r="C974" s="915" t="str">
        <f t="shared" si="15"/>
        <v>8월</v>
      </c>
      <c r="D974" s="916" t="s">
        <v>4479</v>
      </c>
      <c r="E974" s="916" t="s">
        <v>4369</v>
      </c>
      <c r="F974" s="916" t="s">
        <v>4370</v>
      </c>
      <c r="G974" s="915"/>
      <c r="H974" s="917">
        <v>385</v>
      </c>
      <c r="I974" s="918"/>
      <c r="J974" s="918"/>
    </row>
    <row r="975" spans="1:10">
      <c r="A975" t="s">
        <v>4597</v>
      </c>
      <c r="B975" s="915" t="s">
        <v>3788</v>
      </c>
      <c r="C975" s="915" t="str">
        <f t="shared" si="15"/>
        <v>9월</v>
      </c>
      <c r="D975" s="916" t="s">
        <v>4479</v>
      </c>
      <c r="E975" s="916" t="s">
        <v>4369</v>
      </c>
      <c r="F975" s="916" t="s">
        <v>4370</v>
      </c>
      <c r="G975" s="915"/>
      <c r="H975" s="917">
        <v>385</v>
      </c>
      <c r="I975" s="918"/>
      <c r="J975" s="917">
        <v>18495054</v>
      </c>
    </row>
    <row r="976" spans="1:10">
      <c r="A976" t="s">
        <v>4597</v>
      </c>
      <c r="B976" s="915" t="s">
        <v>3807</v>
      </c>
      <c r="C976" s="915" t="str">
        <f t="shared" si="15"/>
        <v>10월</v>
      </c>
      <c r="D976" s="916" t="s">
        <v>4479</v>
      </c>
      <c r="E976" s="916" t="s">
        <v>4369</v>
      </c>
      <c r="F976" s="916" t="s">
        <v>4370</v>
      </c>
      <c r="G976" s="915"/>
      <c r="H976" s="917">
        <v>385</v>
      </c>
      <c r="I976" s="918"/>
      <c r="J976" s="918"/>
    </row>
    <row r="977" spans="1:10">
      <c r="A977" t="s">
        <v>4597</v>
      </c>
      <c r="B977" s="915" t="s">
        <v>4553</v>
      </c>
      <c r="C977" s="915" t="str">
        <f t="shared" si="15"/>
        <v>11월</v>
      </c>
      <c r="D977" s="916" t="s">
        <v>4479</v>
      </c>
      <c r="E977" s="916" t="s">
        <v>4369</v>
      </c>
      <c r="F977" s="916" t="s">
        <v>4370</v>
      </c>
      <c r="G977" s="915"/>
      <c r="H977" s="917">
        <v>385</v>
      </c>
      <c r="I977" s="918"/>
      <c r="J977" s="918"/>
    </row>
    <row r="978" spans="1:10">
      <c r="A978" t="s">
        <v>4597</v>
      </c>
      <c r="B978" s="915" t="s">
        <v>3926</v>
      </c>
      <c r="C978" s="915" t="str">
        <f t="shared" si="15"/>
        <v>1월</v>
      </c>
      <c r="D978" s="916" t="s">
        <v>4394</v>
      </c>
      <c r="E978" s="916" t="s">
        <v>4369</v>
      </c>
      <c r="F978" s="916" t="s">
        <v>4370</v>
      </c>
      <c r="G978" s="915"/>
      <c r="H978" s="917">
        <v>374</v>
      </c>
      <c r="I978" s="918"/>
      <c r="J978" s="918"/>
    </row>
    <row r="979" spans="1:10">
      <c r="A979" t="s">
        <v>4597</v>
      </c>
      <c r="B979" s="915" t="s">
        <v>4519</v>
      </c>
      <c r="C979" s="915" t="str">
        <f t="shared" si="15"/>
        <v>8월</v>
      </c>
      <c r="D979" s="916" t="s">
        <v>4520</v>
      </c>
      <c r="E979" s="916" t="s">
        <v>4369</v>
      </c>
      <c r="F979" s="916" t="s">
        <v>4370</v>
      </c>
      <c r="G979" s="915"/>
      <c r="H979" s="917">
        <v>374</v>
      </c>
      <c r="I979" s="918"/>
      <c r="J979" s="918"/>
    </row>
    <row r="980" spans="1:10">
      <c r="A980" t="s">
        <v>4597</v>
      </c>
      <c r="B980" s="915" t="s">
        <v>4527</v>
      </c>
      <c r="C980" s="915" t="str">
        <f t="shared" si="15"/>
        <v>8월</v>
      </c>
      <c r="D980" s="916" t="s">
        <v>4528</v>
      </c>
      <c r="E980" s="916" t="s">
        <v>4369</v>
      </c>
      <c r="F980" s="916" t="s">
        <v>4370</v>
      </c>
      <c r="G980" s="915"/>
      <c r="H980" s="917">
        <v>352</v>
      </c>
      <c r="I980" s="918"/>
      <c r="J980" s="918"/>
    </row>
    <row r="981" spans="1:10">
      <c r="A981" t="s">
        <v>4010</v>
      </c>
      <c r="B981" s="915" t="s">
        <v>3332</v>
      </c>
      <c r="C981" s="915" t="str">
        <f t="shared" si="15"/>
        <v>12월</v>
      </c>
      <c r="D981" s="916" t="s">
        <v>4008</v>
      </c>
      <c r="E981" s="916"/>
      <c r="F981" s="916" t="s">
        <v>4009</v>
      </c>
      <c r="G981" s="915"/>
      <c r="H981" s="917">
        <v>340</v>
      </c>
      <c r="I981" s="918"/>
      <c r="J981" s="917">
        <v>4491521</v>
      </c>
    </row>
    <row r="982" spans="1:10">
      <c r="A982" t="s">
        <v>4597</v>
      </c>
      <c r="B982" s="915" t="s">
        <v>3649</v>
      </c>
      <c r="C982" s="915" t="str">
        <f t="shared" si="15"/>
        <v>1월</v>
      </c>
      <c r="D982" s="916" t="s">
        <v>4399</v>
      </c>
      <c r="E982" s="916" t="s">
        <v>4400</v>
      </c>
      <c r="F982" s="916" t="s">
        <v>4401</v>
      </c>
      <c r="G982" s="915"/>
      <c r="H982" s="917">
        <v>240</v>
      </c>
      <c r="I982" s="918"/>
      <c r="J982" s="917">
        <v>520709</v>
      </c>
    </row>
    <row r="983" spans="1:10">
      <c r="A983" t="s">
        <v>4597</v>
      </c>
      <c r="B983" s="915" t="s">
        <v>4403</v>
      </c>
      <c r="C983" s="915" t="str">
        <f t="shared" si="15"/>
        <v>2월</v>
      </c>
      <c r="D983" s="916" t="s">
        <v>4404</v>
      </c>
      <c r="E983" s="916" t="s">
        <v>4400</v>
      </c>
      <c r="F983" s="916" t="s">
        <v>4401</v>
      </c>
      <c r="G983" s="915"/>
      <c r="H983" s="917">
        <v>240</v>
      </c>
      <c r="I983" s="918"/>
      <c r="J983" s="917">
        <v>561529</v>
      </c>
    </row>
    <row r="984" spans="1:10">
      <c r="A984" t="s">
        <v>4597</v>
      </c>
      <c r="B984" s="915" t="s">
        <v>4017</v>
      </c>
      <c r="C984" s="915" t="str">
        <f t="shared" si="15"/>
        <v>3월</v>
      </c>
      <c r="D984" s="916" t="s">
        <v>4421</v>
      </c>
      <c r="E984" s="916" t="s">
        <v>4400</v>
      </c>
      <c r="F984" s="916" t="s">
        <v>4401</v>
      </c>
      <c r="G984" s="915"/>
      <c r="H984" s="917">
        <v>240</v>
      </c>
      <c r="I984" s="918"/>
      <c r="J984" s="917">
        <v>1228648</v>
      </c>
    </row>
    <row r="985" spans="1:10">
      <c r="A985" t="s">
        <v>4597</v>
      </c>
      <c r="B985" s="915" t="s">
        <v>4177</v>
      </c>
      <c r="C985" s="915" t="str">
        <f t="shared" si="15"/>
        <v>3월</v>
      </c>
      <c r="D985" s="916" t="s">
        <v>4421</v>
      </c>
      <c r="E985" s="916" t="s">
        <v>4400</v>
      </c>
      <c r="F985" s="916" t="s">
        <v>4401</v>
      </c>
      <c r="G985" s="915"/>
      <c r="H985" s="917">
        <v>240</v>
      </c>
      <c r="I985" s="918"/>
      <c r="J985" s="918"/>
    </row>
    <row r="986" spans="1:10">
      <c r="A986" t="s">
        <v>4597</v>
      </c>
      <c r="B986" s="915" t="s">
        <v>4456</v>
      </c>
      <c r="C986" s="915" t="str">
        <f t="shared" si="15"/>
        <v>5월</v>
      </c>
      <c r="D986" s="916" t="s">
        <v>4421</v>
      </c>
      <c r="E986" s="916" t="s">
        <v>4400</v>
      </c>
      <c r="F986" s="916" t="s">
        <v>4401</v>
      </c>
      <c r="G986" s="915"/>
      <c r="H986" s="917">
        <v>240</v>
      </c>
      <c r="I986" s="918"/>
      <c r="J986" s="918"/>
    </row>
    <row r="987" spans="1:10">
      <c r="A987" t="s">
        <v>4597</v>
      </c>
      <c r="B987" s="915" t="s">
        <v>4458</v>
      </c>
      <c r="C987" s="915" t="str">
        <f t="shared" si="15"/>
        <v>5월</v>
      </c>
      <c r="D987" s="916" t="s">
        <v>4459</v>
      </c>
      <c r="E987" s="916" t="s">
        <v>4400</v>
      </c>
      <c r="F987" s="916" t="s">
        <v>4401</v>
      </c>
      <c r="G987" s="915"/>
      <c r="H987" s="917">
        <v>240</v>
      </c>
      <c r="I987" s="918"/>
      <c r="J987" s="917">
        <v>11773936</v>
      </c>
    </row>
    <row r="988" spans="1:10">
      <c r="A988" t="s">
        <v>4597</v>
      </c>
      <c r="B988" s="915" t="s">
        <v>3728</v>
      </c>
      <c r="C988" s="915" t="str">
        <f t="shared" si="15"/>
        <v>5월</v>
      </c>
      <c r="D988" s="916" t="s">
        <v>4463</v>
      </c>
      <c r="E988" s="916" t="s">
        <v>4400</v>
      </c>
      <c r="F988" s="916" t="s">
        <v>4401</v>
      </c>
      <c r="G988" s="915"/>
      <c r="H988" s="917">
        <v>240</v>
      </c>
      <c r="I988" s="918"/>
      <c r="J988" s="918"/>
    </row>
    <row r="989" spans="1:10">
      <c r="A989" t="s">
        <v>4597</v>
      </c>
      <c r="B989" s="915" t="s">
        <v>3747</v>
      </c>
      <c r="C989" s="915" t="str">
        <f t="shared" si="15"/>
        <v>5월</v>
      </c>
      <c r="D989" s="916" t="s">
        <v>4421</v>
      </c>
      <c r="E989" s="916" t="s">
        <v>4400</v>
      </c>
      <c r="F989" s="916" t="s">
        <v>4401</v>
      </c>
      <c r="G989" s="915"/>
      <c r="H989" s="917">
        <v>240</v>
      </c>
      <c r="I989" s="918"/>
      <c r="J989" s="918"/>
    </row>
    <row r="990" spans="1:10">
      <c r="A990" t="s">
        <v>4597</v>
      </c>
      <c r="B990" s="915" t="s">
        <v>4480</v>
      </c>
      <c r="C990" s="915" t="str">
        <f t="shared" si="15"/>
        <v>6월</v>
      </c>
      <c r="D990" s="916" t="s">
        <v>4459</v>
      </c>
      <c r="E990" s="916" t="s">
        <v>4400</v>
      </c>
      <c r="F990" s="916" t="s">
        <v>4401</v>
      </c>
      <c r="G990" s="915"/>
      <c r="H990" s="917">
        <v>240</v>
      </c>
      <c r="I990" s="918"/>
      <c r="J990" s="917">
        <v>15779173</v>
      </c>
    </row>
    <row r="991" spans="1:10">
      <c r="A991" t="s">
        <v>4597</v>
      </c>
      <c r="B991" s="915" t="s">
        <v>3613</v>
      </c>
      <c r="C991" s="915" t="str">
        <f t="shared" si="15"/>
        <v>6월</v>
      </c>
      <c r="D991" s="916" t="s">
        <v>4421</v>
      </c>
      <c r="E991" s="916" t="s">
        <v>4400</v>
      </c>
      <c r="F991" s="916" t="s">
        <v>4401</v>
      </c>
      <c r="G991" s="915"/>
      <c r="H991" s="917">
        <v>240</v>
      </c>
      <c r="I991" s="918"/>
      <c r="J991" s="918"/>
    </row>
    <row r="992" spans="1:10">
      <c r="A992" t="s">
        <v>4597</v>
      </c>
      <c r="B992" s="915" t="s">
        <v>3969</v>
      </c>
      <c r="C992" s="915" t="str">
        <f t="shared" si="15"/>
        <v>7월</v>
      </c>
      <c r="D992" s="916" t="s">
        <v>4421</v>
      </c>
      <c r="E992" s="916" t="s">
        <v>4400</v>
      </c>
      <c r="F992" s="916" t="s">
        <v>4401</v>
      </c>
      <c r="G992" s="915"/>
      <c r="H992" s="917">
        <v>240</v>
      </c>
      <c r="I992" s="918"/>
      <c r="J992" s="917">
        <v>17694963</v>
      </c>
    </row>
    <row r="993" spans="1:10">
      <c r="A993" t="s">
        <v>4597</v>
      </c>
      <c r="B993" s="915" t="s">
        <v>4521</v>
      </c>
      <c r="C993" s="915" t="str">
        <f t="shared" si="15"/>
        <v>8월</v>
      </c>
      <c r="D993" s="916" t="s">
        <v>4523</v>
      </c>
      <c r="E993" s="916" t="s">
        <v>4400</v>
      </c>
      <c r="F993" s="916" t="s">
        <v>4401</v>
      </c>
      <c r="G993" s="915"/>
      <c r="H993" s="917">
        <v>240</v>
      </c>
      <c r="I993" s="918"/>
      <c r="J993" s="917">
        <v>17542006</v>
      </c>
    </row>
    <row r="994" spans="1:10">
      <c r="A994" t="s">
        <v>4597</v>
      </c>
      <c r="B994" s="915" t="s">
        <v>4527</v>
      </c>
      <c r="C994" s="915" t="str">
        <f t="shared" si="15"/>
        <v>8월</v>
      </c>
      <c r="D994" s="916" t="s">
        <v>4529</v>
      </c>
      <c r="E994" s="916" t="s">
        <v>4400</v>
      </c>
      <c r="F994" s="916" t="s">
        <v>4401</v>
      </c>
      <c r="G994" s="915"/>
      <c r="H994" s="917">
        <v>240</v>
      </c>
      <c r="I994" s="918"/>
      <c r="J994" s="917">
        <v>18079528</v>
      </c>
    </row>
    <row r="995" spans="1:10">
      <c r="A995" t="s">
        <v>4597</v>
      </c>
      <c r="B995" s="915" t="s">
        <v>4530</v>
      </c>
      <c r="C995" s="915" t="str">
        <f t="shared" si="15"/>
        <v>8월</v>
      </c>
      <c r="D995" s="916" t="s">
        <v>4421</v>
      </c>
      <c r="E995" s="916" t="s">
        <v>4400</v>
      </c>
      <c r="F995" s="916" t="s">
        <v>4401</v>
      </c>
      <c r="G995" s="915"/>
      <c r="H995" s="917">
        <v>240</v>
      </c>
      <c r="I995" s="918"/>
      <c r="J995" s="918"/>
    </row>
    <row r="996" spans="1:10">
      <c r="A996" t="s">
        <v>4597</v>
      </c>
      <c r="B996" s="915" t="s">
        <v>4530</v>
      </c>
      <c r="C996" s="915" t="str">
        <f t="shared" si="15"/>
        <v>8월</v>
      </c>
      <c r="D996" s="916" t="s">
        <v>4459</v>
      </c>
      <c r="E996" s="916" t="s">
        <v>4400</v>
      </c>
      <c r="F996" s="916" t="s">
        <v>4401</v>
      </c>
      <c r="G996" s="915"/>
      <c r="H996" s="917">
        <v>240</v>
      </c>
      <c r="I996" s="918"/>
      <c r="J996" s="918"/>
    </row>
    <row r="997" spans="1:10">
      <c r="A997" t="s">
        <v>4597</v>
      </c>
      <c r="B997" s="915" t="s">
        <v>4530</v>
      </c>
      <c r="C997" s="915" t="str">
        <f t="shared" si="15"/>
        <v>8월</v>
      </c>
      <c r="D997" s="916" t="s">
        <v>4531</v>
      </c>
      <c r="E997" s="916" t="s">
        <v>4400</v>
      </c>
      <c r="F997" s="916" t="s">
        <v>4401</v>
      </c>
      <c r="G997" s="915"/>
      <c r="H997" s="917">
        <v>240</v>
      </c>
      <c r="I997" s="918"/>
      <c r="J997" s="917">
        <v>18297981</v>
      </c>
    </row>
    <row r="998" spans="1:10">
      <c r="A998" t="s">
        <v>4597</v>
      </c>
      <c r="B998" s="915" t="s">
        <v>4349</v>
      </c>
      <c r="C998" s="915" t="str">
        <f t="shared" si="15"/>
        <v>9월</v>
      </c>
      <c r="D998" s="916" t="s">
        <v>4421</v>
      </c>
      <c r="E998" s="916" t="s">
        <v>4400</v>
      </c>
      <c r="F998" s="916" t="s">
        <v>4401</v>
      </c>
      <c r="G998" s="915"/>
      <c r="H998" s="917">
        <v>240</v>
      </c>
      <c r="I998" s="918"/>
      <c r="J998" s="917">
        <v>18837174</v>
      </c>
    </row>
    <row r="999" spans="1:10">
      <c r="A999" t="s">
        <v>4597</v>
      </c>
      <c r="B999" s="915" t="s">
        <v>4055</v>
      </c>
      <c r="C999" s="915" t="str">
        <f t="shared" si="15"/>
        <v>10월</v>
      </c>
      <c r="D999" s="916" t="s">
        <v>4459</v>
      </c>
      <c r="E999" s="916" t="s">
        <v>4400</v>
      </c>
      <c r="F999" s="916" t="s">
        <v>4401</v>
      </c>
      <c r="G999" s="915"/>
      <c r="H999" s="917">
        <v>240</v>
      </c>
      <c r="I999" s="918"/>
      <c r="J999" s="917">
        <v>18552614</v>
      </c>
    </row>
    <row r="1000" spans="1:10">
      <c r="A1000" t="s">
        <v>4597</v>
      </c>
      <c r="B1000" s="915" t="s">
        <v>4549</v>
      </c>
      <c r="C1000" s="915" t="str">
        <f t="shared" si="15"/>
        <v>10월</v>
      </c>
      <c r="D1000" s="916" t="s">
        <v>4421</v>
      </c>
      <c r="E1000" s="916" t="s">
        <v>4400</v>
      </c>
      <c r="F1000" s="916" t="s">
        <v>4401</v>
      </c>
      <c r="G1000" s="915"/>
      <c r="H1000" s="917">
        <v>240</v>
      </c>
      <c r="I1000" s="918"/>
      <c r="J1000" s="917">
        <v>19355859</v>
      </c>
    </row>
    <row r="1001" spans="1:10">
      <c r="A1001" t="s">
        <v>4597</v>
      </c>
      <c r="B1001" s="915" t="s">
        <v>3828</v>
      </c>
      <c r="C1001" s="915" t="str">
        <f t="shared" si="15"/>
        <v>11월</v>
      </c>
      <c r="D1001" s="916" t="s">
        <v>4459</v>
      </c>
      <c r="E1001" s="916" t="s">
        <v>4400</v>
      </c>
      <c r="F1001" s="916" t="s">
        <v>4401</v>
      </c>
      <c r="G1001" s="915"/>
      <c r="H1001" s="917">
        <v>240</v>
      </c>
      <c r="I1001" s="918"/>
      <c r="J1001" s="917">
        <v>19072039</v>
      </c>
    </row>
    <row r="1002" spans="1:10">
      <c r="A1002" t="s">
        <v>4597</v>
      </c>
      <c r="B1002" s="915" t="s">
        <v>4570</v>
      </c>
      <c r="C1002" s="915" t="str">
        <f t="shared" si="15"/>
        <v>11월</v>
      </c>
      <c r="D1002" s="916" t="s">
        <v>4529</v>
      </c>
      <c r="E1002" s="916" t="s">
        <v>4400</v>
      </c>
      <c r="F1002" s="916" t="s">
        <v>4401</v>
      </c>
      <c r="G1002" s="915"/>
      <c r="H1002" s="917">
        <v>240</v>
      </c>
      <c r="I1002" s="918"/>
      <c r="J1002" s="917">
        <v>19675214</v>
      </c>
    </row>
    <row r="1003" spans="1:10">
      <c r="A1003" t="s">
        <v>4597</v>
      </c>
      <c r="B1003" s="915" t="s">
        <v>3996</v>
      </c>
      <c r="C1003" s="915" t="str">
        <f t="shared" si="15"/>
        <v>11월</v>
      </c>
      <c r="D1003" s="916" t="s">
        <v>4421</v>
      </c>
      <c r="E1003" s="916" t="s">
        <v>4400</v>
      </c>
      <c r="F1003" s="916" t="s">
        <v>4401</v>
      </c>
      <c r="G1003" s="915"/>
      <c r="H1003" s="917">
        <v>240</v>
      </c>
      <c r="I1003" s="918"/>
      <c r="J1003" s="917">
        <v>19921534</v>
      </c>
    </row>
    <row r="1004" spans="1:10">
      <c r="A1004" t="s">
        <v>4597</v>
      </c>
      <c r="B1004" s="915" t="s">
        <v>4355</v>
      </c>
      <c r="C1004" s="915" t="str">
        <f t="shared" si="15"/>
        <v>12월</v>
      </c>
      <c r="D1004" s="916" t="s">
        <v>4529</v>
      </c>
      <c r="E1004" s="916" t="s">
        <v>4400</v>
      </c>
      <c r="F1004" s="916" t="s">
        <v>4401</v>
      </c>
      <c r="G1004" s="915"/>
      <c r="H1004" s="917">
        <v>240</v>
      </c>
      <c r="I1004" s="918"/>
      <c r="J1004" s="917">
        <v>19638074</v>
      </c>
    </row>
    <row r="1005" spans="1:10">
      <c r="A1005" t="s">
        <v>4597</v>
      </c>
      <c r="B1005" s="915" t="s">
        <v>4586</v>
      </c>
      <c r="C1005" s="915" t="str">
        <f t="shared" si="15"/>
        <v>12월</v>
      </c>
      <c r="D1005" s="916" t="s">
        <v>4587</v>
      </c>
      <c r="E1005" s="916" t="s">
        <v>4400</v>
      </c>
      <c r="F1005" s="916" t="s">
        <v>4401</v>
      </c>
      <c r="G1005" s="915"/>
      <c r="H1005" s="917">
        <v>240</v>
      </c>
      <c r="I1005" s="918"/>
      <c r="J1005" s="917">
        <v>19661594</v>
      </c>
    </row>
    <row r="1006" spans="1:10">
      <c r="A1006" t="s">
        <v>4597</v>
      </c>
      <c r="B1006" s="915" t="s">
        <v>3330</v>
      </c>
      <c r="C1006" s="915" t="str">
        <f t="shared" si="15"/>
        <v>12월</v>
      </c>
      <c r="D1006" s="916" t="s">
        <v>4531</v>
      </c>
      <c r="E1006" s="916" t="s">
        <v>4400</v>
      </c>
      <c r="F1006" s="916" t="s">
        <v>4401</v>
      </c>
      <c r="G1006" s="915"/>
      <c r="H1006" s="917">
        <v>240</v>
      </c>
      <c r="I1006" s="918"/>
      <c r="J1006" s="917">
        <v>20379964</v>
      </c>
    </row>
    <row r="1007" spans="1:10">
      <c r="A1007" t="s">
        <v>4597</v>
      </c>
      <c r="B1007" s="915" t="s">
        <v>3868</v>
      </c>
      <c r="C1007" s="915" t="str">
        <f t="shared" si="15"/>
        <v>12월</v>
      </c>
      <c r="D1007" s="916" t="s">
        <v>4594</v>
      </c>
      <c r="E1007" s="916" t="s">
        <v>4400</v>
      </c>
      <c r="F1007" s="916" t="s">
        <v>4401</v>
      </c>
      <c r="G1007" s="915"/>
      <c r="H1007" s="917">
        <v>240</v>
      </c>
      <c r="I1007" s="918"/>
      <c r="J1007" s="917">
        <v>20571304</v>
      </c>
    </row>
    <row r="1008" spans="1:10">
      <c r="A1008" t="s">
        <v>4597</v>
      </c>
      <c r="B1008" s="915" t="s">
        <v>3332</v>
      </c>
      <c r="C1008" s="915" t="str">
        <f t="shared" si="15"/>
        <v>12월</v>
      </c>
      <c r="D1008" s="916" t="s">
        <v>4594</v>
      </c>
      <c r="E1008" s="916" t="s">
        <v>4400</v>
      </c>
      <c r="F1008" s="916" t="s">
        <v>4401</v>
      </c>
      <c r="G1008" s="915"/>
      <c r="H1008" s="917">
        <v>240</v>
      </c>
      <c r="I1008" s="918"/>
      <c r="J1008" s="918"/>
    </row>
    <row r="1009" spans="1:10">
      <c r="A1009" t="s">
        <v>4597</v>
      </c>
      <c r="B1009" s="915" t="s">
        <v>3887</v>
      </c>
      <c r="C1009" s="915" t="str">
        <f t="shared" si="15"/>
        <v>6월</v>
      </c>
      <c r="D1009" s="916" t="s">
        <v>4416</v>
      </c>
      <c r="E1009" s="916" t="s">
        <v>4438</v>
      </c>
      <c r="F1009" s="916" t="s">
        <v>4439</v>
      </c>
      <c r="G1009" s="915"/>
      <c r="H1009" s="917">
        <v>220</v>
      </c>
      <c r="I1009" s="918"/>
      <c r="J1009" s="917">
        <v>16405467</v>
      </c>
    </row>
    <row r="1010" spans="1:10">
      <c r="A1010" t="s">
        <v>3870</v>
      </c>
      <c r="B1010" s="915" t="s">
        <v>3332</v>
      </c>
      <c r="C1010" s="915" t="str">
        <f t="shared" si="15"/>
        <v>12월</v>
      </c>
      <c r="D1010" s="916" t="s">
        <v>3628</v>
      </c>
      <c r="E1010" s="916"/>
      <c r="F1010" s="916"/>
      <c r="G1010" s="915"/>
      <c r="H1010" s="917">
        <v>-700</v>
      </c>
      <c r="I1010" s="918"/>
      <c r="J1010" s="917">
        <v>1639010</v>
      </c>
    </row>
    <row r="1011" spans="1:10">
      <c r="A1011" t="s">
        <v>4597</v>
      </c>
      <c r="B1011" s="915" t="s">
        <v>3841</v>
      </c>
      <c r="C1011" s="915" t="str">
        <f t="shared" si="15"/>
        <v>11월</v>
      </c>
      <c r="D1011" s="916" t="s">
        <v>4412</v>
      </c>
      <c r="E1011" s="916"/>
      <c r="F1011" s="916"/>
      <c r="G1011" s="915"/>
      <c r="H1011" s="917">
        <v>-8720</v>
      </c>
      <c r="I1011" s="918"/>
      <c r="J1011" s="918"/>
    </row>
    <row r="1012" spans="1:10">
      <c r="A1012" t="s">
        <v>4597</v>
      </c>
      <c r="B1012" s="915" t="s">
        <v>3865</v>
      </c>
      <c r="C1012" s="915" t="str">
        <f t="shared" si="15"/>
        <v>12월</v>
      </c>
      <c r="D1012" s="916" t="s">
        <v>4412</v>
      </c>
      <c r="E1012" s="916"/>
      <c r="F1012" s="916"/>
      <c r="G1012" s="915"/>
      <c r="H1012" s="917">
        <v>-8920</v>
      </c>
      <c r="I1012" s="918"/>
      <c r="J1012" s="917">
        <v>20571064</v>
      </c>
    </row>
    <row r="1013" spans="1:10">
      <c r="A1013" t="s">
        <v>4597</v>
      </c>
      <c r="B1013" s="915" t="s">
        <v>4049</v>
      </c>
      <c r="C1013" s="915" t="str">
        <f t="shared" si="15"/>
        <v>6월</v>
      </c>
      <c r="D1013" s="916" t="s">
        <v>4412</v>
      </c>
      <c r="E1013" s="916"/>
      <c r="F1013" s="916"/>
      <c r="G1013" s="915"/>
      <c r="H1013" s="917">
        <v>-9260</v>
      </c>
      <c r="I1013" s="918"/>
      <c r="J1013" s="917">
        <v>16614307</v>
      </c>
    </row>
    <row r="1014" spans="1:10">
      <c r="A1014" t="s">
        <v>4597</v>
      </c>
      <c r="B1014" s="915" t="s">
        <v>3711</v>
      </c>
      <c r="C1014" s="915" t="str">
        <f t="shared" si="15"/>
        <v>4월</v>
      </c>
      <c r="D1014" s="916" t="s">
        <v>4412</v>
      </c>
      <c r="E1014" s="916"/>
      <c r="F1014" s="916"/>
      <c r="G1014" s="915"/>
      <c r="H1014" s="917">
        <v>-9640</v>
      </c>
      <c r="I1014" s="918"/>
      <c r="J1014" s="918"/>
    </row>
    <row r="1015" spans="1:10">
      <c r="A1015" t="s">
        <v>4597</v>
      </c>
      <c r="B1015" s="915" t="s">
        <v>3326</v>
      </c>
      <c r="C1015" s="915" t="str">
        <f t="shared" si="15"/>
        <v>7월</v>
      </c>
      <c r="D1015" s="916" t="s">
        <v>4412</v>
      </c>
      <c r="E1015" s="916"/>
      <c r="F1015" s="916"/>
      <c r="G1015" s="915"/>
      <c r="H1015" s="917">
        <v>-9860</v>
      </c>
      <c r="I1015" s="918"/>
      <c r="J1015" s="918"/>
    </row>
    <row r="1016" spans="1:10">
      <c r="A1016" t="s">
        <v>4597</v>
      </c>
      <c r="B1016" s="915" t="s">
        <v>3828</v>
      </c>
      <c r="C1016" s="915" t="str">
        <f t="shared" si="15"/>
        <v>11월</v>
      </c>
      <c r="D1016" s="916" t="s">
        <v>4412</v>
      </c>
      <c r="E1016" s="916"/>
      <c r="F1016" s="916"/>
      <c r="G1016" s="915"/>
      <c r="H1016" s="917">
        <v>-10020</v>
      </c>
      <c r="I1016" s="918"/>
      <c r="J1016" s="918"/>
    </row>
    <row r="1017" spans="1:10">
      <c r="A1017" t="s">
        <v>4597</v>
      </c>
      <c r="B1017" s="915" t="s">
        <v>3727</v>
      </c>
      <c r="C1017" s="915" t="str">
        <f t="shared" si="15"/>
        <v>5월</v>
      </c>
      <c r="D1017" s="916" t="s">
        <v>4412</v>
      </c>
      <c r="E1017" s="916"/>
      <c r="F1017" s="916"/>
      <c r="G1017" s="915"/>
      <c r="H1017" s="917">
        <v>-10040</v>
      </c>
      <c r="I1017" s="918"/>
      <c r="J1017" s="917">
        <v>11763896</v>
      </c>
    </row>
    <row r="1018" spans="1:10">
      <c r="A1018" t="s">
        <v>4597</v>
      </c>
      <c r="B1018" s="915" t="s">
        <v>3972</v>
      </c>
      <c r="C1018" s="915" t="str">
        <f t="shared" si="15"/>
        <v>9월</v>
      </c>
      <c r="D1018" s="916" t="s">
        <v>4412</v>
      </c>
      <c r="E1018" s="916"/>
      <c r="F1018" s="916"/>
      <c r="G1018" s="915"/>
      <c r="H1018" s="917">
        <v>-10280</v>
      </c>
      <c r="I1018" s="918"/>
      <c r="J1018" s="917">
        <v>18033629</v>
      </c>
    </row>
    <row r="1019" spans="1:10">
      <c r="A1019" t="s">
        <v>4597</v>
      </c>
      <c r="B1019" s="915" t="s">
        <v>4478</v>
      </c>
      <c r="C1019" s="915" t="str">
        <f t="shared" si="15"/>
        <v>6월</v>
      </c>
      <c r="D1019" s="916" t="s">
        <v>4412</v>
      </c>
      <c r="E1019" s="916"/>
      <c r="F1019" s="916"/>
      <c r="G1019" s="915"/>
      <c r="H1019" s="917">
        <v>-10420</v>
      </c>
      <c r="I1019" s="918"/>
      <c r="J1019" s="917">
        <v>15661612</v>
      </c>
    </row>
    <row r="1020" spans="1:10">
      <c r="A1020" t="s">
        <v>4597</v>
      </c>
      <c r="B1020" s="915" t="s">
        <v>4055</v>
      </c>
      <c r="C1020" s="915" t="str">
        <f t="shared" si="15"/>
        <v>10월</v>
      </c>
      <c r="D1020" s="916" t="s">
        <v>4412</v>
      </c>
      <c r="E1020" s="916"/>
      <c r="F1020" s="916"/>
      <c r="G1020" s="915"/>
      <c r="H1020" s="917">
        <v>-10720</v>
      </c>
      <c r="I1020" s="918"/>
      <c r="J1020" s="918"/>
    </row>
    <row r="1021" spans="1:10">
      <c r="A1021" t="s">
        <v>4597</v>
      </c>
      <c r="B1021" s="915" t="s">
        <v>4019</v>
      </c>
      <c r="C1021" s="915" t="str">
        <f t="shared" si="15"/>
        <v>3월</v>
      </c>
      <c r="D1021" s="916" t="s">
        <v>4412</v>
      </c>
      <c r="E1021" s="916"/>
      <c r="F1021" s="916"/>
      <c r="G1021" s="915"/>
      <c r="H1021" s="917">
        <v>-11120</v>
      </c>
      <c r="I1021" s="918"/>
      <c r="J1021" s="918"/>
    </row>
    <row r="1022" spans="1:10">
      <c r="A1022" t="s">
        <v>4292</v>
      </c>
      <c r="B1022" s="915" t="s">
        <v>3722</v>
      </c>
      <c r="C1022" s="915" t="str">
        <f t="shared" si="15"/>
        <v>4월</v>
      </c>
      <c r="D1022" s="916" t="s">
        <v>4243</v>
      </c>
      <c r="E1022" s="916"/>
      <c r="F1022" s="916"/>
      <c r="G1022" s="915"/>
      <c r="H1022" s="917">
        <v>-14150</v>
      </c>
      <c r="I1022" s="918"/>
      <c r="J1022" s="918"/>
    </row>
    <row r="1023" spans="1:10">
      <c r="A1023" t="s">
        <v>4292</v>
      </c>
      <c r="B1023" s="915" t="s">
        <v>3747</v>
      </c>
      <c r="C1023" s="915" t="str">
        <f t="shared" si="15"/>
        <v>5월</v>
      </c>
      <c r="D1023" s="916" t="s">
        <v>4254</v>
      </c>
      <c r="E1023" s="916"/>
      <c r="F1023" s="916"/>
      <c r="G1023" s="915"/>
      <c r="H1023" s="917">
        <v>-14150</v>
      </c>
      <c r="I1023" s="918"/>
      <c r="J1023" s="917">
        <v>446220</v>
      </c>
    </row>
    <row r="1024" spans="1:10">
      <c r="A1024" t="s">
        <v>4292</v>
      </c>
      <c r="B1024" s="915" t="s">
        <v>4035</v>
      </c>
      <c r="C1024" s="915" t="str">
        <f t="shared" si="15"/>
        <v>6월</v>
      </c>
      <c r="D1024" s="916" t="s">
        <v>4259</v>
      </c>
      <c r="E1024" s="916"/>
      <c r="F1024" s="916"/>
      <c r="G1024" s="915"/>
      <c r="H1024" s="917">
        <v>-14150</v>
      </c>
      <c r="I1024" s="918"/>
      <c r="J1024" s="917">
        <v>371620</v>
      </c>
    </row>
    <row r="1025" spans="1:10">
      <c r="A1025" t="s">
        <v>4292</v>
      </c>
      <c r="B1025" s="915" t="s">
        <v>3771</v>
      </c>
      <c r="C1025" s="915" t="str">
        <f t="shared" si="15"/>
        <v>7월</v>
      </c>
      <c r="D1025" s="916" t="s">
        <v>4263</v>
      </c>
      <c r="E1025" s="916"/>
      <c r="F1025" s="916"/>
      <c r="G1025" s="915"/>
      <c r="H1025" s="917">
        <v>-14150</v>
      </c>
      <c r="I1025" s="918"/>
      <c r="J1025" s="917">
        <v>249600</v>
      </c>
    </row>
    <row r="1026" spans="1:10">
      <c r="A1026" t="s">
        <v>4292</v>
      </c>
      <c r="B1026" s="915" t="s">
        <v>4269</v>
      </c>
      <c r="C1026" s="915" t="str">
        <f t="shared" ref="C1026:C1089" si="16">MONTH(B1026)&amp;"월"</f>
        <v>8월</v>
      </c>
      <c r="D1026" s="916" t="s">
        <v>4270</v>
      </c>
      <c r="E1026" s="916"/>
      <c r="F1026" s="916"/>
      <c r="G1026" s="915"/>
      <c r="H1026" s="917">
        <v>-14150</v>
      </c>
      <c r="I1026" s="918"/>
      <c r="J1026" s="917">
        <v>432070</v>
      </c>
    </row>
    <row r="1027" spans="1:10">
      <c r="A1027" t="s">
        <v>4597</v>
      </c>
      <c r="B1027" s="915" t="s">
        <v>3649</v>
      </c>
      <c r="C1027" s="915" t="str">
        <f t="shared" si="16"/>
        <v>1월</v>
      </c>
      <c r="D1027" s="916" t="s">
        <v>4396</v>
      </c>
      <c r="E1027" s="916"/>
      <c r="F1027" s="916"/>
      <c r="G1027" s="915"/>
      <c r="H1027" s="917">
        <v>-16040</v>
      </c>
      <c r="I1027" s="918"/>
      <c r="J1027" s="918"/>
    </row>
    <row r="1028" spans="1:10">
      <c r="A1028" t="s">
        <v>4597</v>
      </c>
      <c r="B1028" s="915" t="s">
        <v>4545</v>
      </c>
      <c r="C1028" s="915" t="str">
        <f t="shared" si="16"/>
        <v>10월</v>
      </c>
      <c r="D1028" s="916" t="s">
        <v>4412</v>
      </c>
      <c r="E1028" s="916"/>
      <c r="F1028" s="916"/>
      <c r="G1028" s="915"/>
      <c r="H1028" s="917">
        <v>-17940</v>
      </c>
      <c r="I1028" s="918"/>
      <c r="J1028" s="917">
        <v>19008114</v>
      </c>
    </row>
    <row r="1029" spans="1:10">
      <c r="A1029" t="s">
        <v>4597</v>
      </c>
      <c r="B1029" s="915" t="s">
        <v>4000</v>
      </c>
      <c r="C1029" s="915" t="str">
        <f t="shared" si="16"/>
        <v>12월</v>
      </c>
      <c r="D1029" s="916" t="s">
        <v>4412</v>
      </c>
      <c r="E1029" s="916"/>
      <c r="F1029" s="916"/>
      <c r="G1029" s="915"/>
      <c r="H1029" s="917">
        <v>-18280</v>
      </c>
      <c r="I1029" s="918"/>
      <c r="J1029" s="917">
        <v>19784202</v>
      </c>
    </row>
    <row r="1030" spans="1:10">
      <c r="A1030" t="s">
        <v>4597</v>
      </c>
      <c r="B1030" s="915" t="s">
        <v>4556</v>
      </c>
      <c r="C1030" s="915" t="str">
        <f t="shared" si="16"/>
        <v>11월</v>
      </c>
      <c r="D1030" s="916" t="s">
        <v>4412</v>
      </c>
      <c r="E1030" s="916"/>
      <c r="F1030" s="916"/>
      <c r="G1030" s="915"/>
      <c r="H1030" s="917">
        <v>-19040</v>
      </c>
      <c r="I1030" s="918"/>
      <c r="J1030" s="918"/>
    </row>
    <row r="1031" spans="1:10">
      <c r="A1031" t="s">
        <v>4597</v>
      </c>
      <c r="B1031" s="915" t="s">
        <v>4526</v>
      </c>
      <c r="C1031" s="915" t="str">
        <f t="shared" si="16"/>
        <v>8월</v>
      </c>
      <c r="D1031" s="916" t="s">
        <v>4412</v>
      </c>
      <c r="E1031" s="916"/>
      <c r="F1031" s="916"/>
      <c r="G1031" s="915"/>
      <c r="H1031" s="917">
        <v>-19460</v>
      </c>
      <c r="I1031" s="918"/>
      <c r="J1031" s="917">
        <v>18076796</v>
      </c>
    </row>
    <row r="1032" spans="1:10">
      <c r="A1032" t="s">
        <v>4597</v>
      </c>
      <c r="B1032" s="915" t="s">
        <v>3761</v>
      </c>
      <c r="C1032" s="915" t="str">
        <f t="shared" si="16"/>
        <v>7월</v>
      </c>
      <c r="D1032" s="916" t="s">
        <v>4412</v>
      </c>
      <c r="E1032" s="916"/>
      <c r="F1032" s="916"/>
      <c r="G1032" s="915"/>
      <c r="H1032" s="917">
        <v>-19480</v>
      </c>
      <c r="I1032" s="918"/>
      <c r="J1032" s="917">
        <v>16386995</v>
      </c>
    </row>
    <row r="1033" spans="1:10">
      <c r="A1033" t="s">
        <v>4597</v>
      </c>
      <c r="B1033" s="915" t="s">
        <v>3788</v>
      </c>
      <c r="C1033" s="915" t="str">
        <f t="shared" si="16"/>
        <v>9월</v>
      </c>
      <c r="D1033" s="916" t="s">
        <v>4412</v>
      </c>
      <c r="E1033" s="916"/>
      <c r="F1033" s="916"/>
      <c r="G1033" s="915"/>
      <c r="H1033" s="917">
        <v>-19620</v>
      </c>
      <c r="I1033" s="918"/>
      <c r="J1033" s="918"/>
    </row>
    <row r="1034" spans="1:10">
      <c r="A1034" t="s">
        <v>4597</v>
      </c>
      <c r="B1034" s="915" t="s">
        <v>3685</v>
      </c>
      <c r="C1034" s="915" t="str">
        <f t="shared" si="16"/>
        <v>2월</v>
      </c>
      <c r="D1034" s="916" t="s">
        <v>4412</v>
      </c>
      <c r="E1034" s="916"/>
      <c r="F1034" s="916"/>
      <c r="G1034" s="915"/>
      <c r="H1034" s="917">
        <v>-20640</v>
      </c>
      <c r="I1034" s="918"/>
      <c r="J1034" s="918"/>
    </row>
    <row r="1035" spans="1:10">
      <c r="A1035" t="s">
        <v>4597</v>
      </c>
      <c r="B1035" s="915" t="s">
        <v>4338</v>
      </c>
      <c r="C1035" s="915" t="str">
        <f t="shared" si="16"/>
        <v>6월</v>
      </c>
      <c r="D1035" s="916" t="s">
        <v>4412</v>
      </c>
      <c r="E1035" s="916"/>
      <c r="F1035" s="916"/>
      <c r="G1035" s="915"/>
      <c r="H1035" s="917">
        <v>-20800</v>
      </c>
      <c r="I1035" s="918"/>
      <c r="J1035" s="918"/>
    </row>
    <row r="1036" spans="1:10">
      <c r="A1036" t="s">
        <v>4220</v>
      </c>
      <c r="B1036" s="915" t="s">
        <v>3776</v>
      </c>
      <c r="C1036" s="915" t="str">
        <f t="shared" si="16"/>
        <v>7월</v>
      </c>
      <c r="D1036" s="916" t="s">
        <v>4196</v>
      </c>
      <c r="E1036" s="916" t="s">
        <v>4197</v>
      </c>
      <c r="F1036" s="916" t="s">
        <v>4198</v>
      </c>
      <c r="G1036" s="915" t="s">
        <v>4199</v>
      </c>
      <c r="H1036" s="917">
        <v>-20800</v>
      </c>
      <c r="I1036" s="918"/>
      <c r="J1036" s="917">
        <v>6142380</v>
      </c>
    </row>
    <row r="1037" spans="1:10">
      <c r="A1037" t="s">
        <v>4597</v>
      </c>
      <c r="B1037" s="915" t="s">
        <v>3737</v>
      </c>
      <c r="C1037" s="915" t="str">
        <f t="shared" si="16"/>
        <v>5월</v>
      </c>
      <c r="D1037" s="916" t="s">
        <v>4412</v>
      </c>
      <c r="E1037" s="916"/>
      <c r="F1037" s="916"/>
      <c r="G1037" s="915"/>
      <c r="H1037" s="917">
        <v>-20880</v>
      </c>
      <c r="I1037" s="918"/>
      <c r="J1037" s="918"/>
    </row>
    <row r="1038" spans="1:10">
      <c r="A1038" t="s">
        <v>4597</v>
      </c>
      <c r="B1038" s="915" t="s">
        <v>3719</v>
      </c>
      <c r="C1038" s="915" t="str">
        <f t="shared" si="16"/>
        <v>4월</v>
      </c>
      <c r="D1038" s="916" t="s">
        <v>4412</v>
      </c>
      <c r="E1038" s="916" t="s">
        <v>4256</v>
      </c>
      <c r="F1038" s="916" t="s">
        <v>4257</v>
      </c>
      <c r="G1038" s="915"/>
      <c r="H1038" s="917">
        <v>-20900</v>
      </c>
      <c r="I1038" s="918"/>
      <c r="J1038" s="917">
        <v>2307319</v>
      </c>
    </row>
    <row r="1039" spans="1:10" ht="22.5">
      <c r="A1039" t="s">
        <v>3871</v>
      </c>
      <c r="B1039" s="915" t="s">
        <v>3624</v>
      </c>
      <c r="C1039" s="915" t="str">
        <f t="shared" si="16"/>
        <v>11월</v>
      </c>
      <c r="D1039" s="916" t="s">
        <v>3837</v>
      </c>
      <c r="E1039" s="916"/>
      <c r="F1039" s="916"/>
      <c r="G1039" s="915"/>
      <c r="H1039" s="917">
        <v>-22000</v>
      </c>
      <c r="I1039" s="918"/>
      <c r="J1039" s="917">
        <v>2144131</v>
      </c>
    </row>
    <row r="1040" spans="1:10">
      <c r="A1040" t="s">
        <v>4597</v>
      </c>
      <c r="B1040" s="915" t="s">
        <v>3696</v>
      </c>
      <c r="C1040" s="915" t="str">
        <f t="shared" si="16"/>
        <v>3월</v>
      </c>
      <c r="D1040" s="916" t="s">
        <v>4426</v>
      </c>
      <c r="E1040" s="916"/>
      <c r="F1040" s="916"/>
      <c r="G1040" s="915"/>
      <c r="H1040" s="917">
        <v>-22180</v>
      </c>
      <c r="I1040" s="918"/>
      <c r="J1040" s="917">
        <v>1284115</v>
      </c>
    </row>
    <row r="1041" spans="1:10">
      <c r="A1041" t="s">
        <v>4220</v>
      </c>
      <c r="B1041" s="915" t="s">
        <v>4200</v>
      </c>
      <c r="C1041" s="915" t="str">
        <f t="shared" si="16"/>
        <v>8월</v>
      </c>
      <c r="D1041" s="916" t="s">
        <v>4201</v>
      </c>
      <c r="E1041" s="916" t="s">
        <v>4202</v>
      </c>
      <c r="F1041" s="916" t="s">
        <v>4203</v>
      </c>
      <c r="G1041" s="915" t="s">
        <v>4204</v>
      </c>
      <c r="H1041" s="917">
        <v>-23630</v>
      </c>
      <c r="I1041" s="918"/>
      <c r="J1041" s="917">
        <v>6118750</v>
      </c>
    </row>
    <row r="1042" spans="1:10">
      <c r="A1042" t="s">
        <v>4597</v>
      </c>
      <c r="B1042" s="915" t="s">
        <v>3640</v>
      </c>
      <c r="C1042" s="915" t="str">
        <f t="shared" si="16"/>
        <v>1월</v>
      </c>
      <c r="D1042" s="916" t="s">
        <v>4393</v>
      </c>
      <c r="E1042" s="916"/>
      <c r="F1042" s="916"/>
      <c r="G1042" s="915"/>
      <c r="H1042" s="917">
        <v>-26260</v>
      </c>
      <c r="I1042" s="918"/>
      <c r="J1042" s="917">
        <v>618575</v>
      </c>
    </row>
    <row r="1043" spans="1:10" ht="22.5">
      <c r="A1043" t="s">
        <v>3871</v>
      </c>
      <c r="B1043" s="915" t="s">
        <v>3817</v>
      </c>
      <c r="C1043" s="915" t="str">
        <f t="shared" si="16"/>
        <v>10월</v>
      </c>
      <c r="D1043" s="916" t="s">
        <v>3818</v>
      </c>
      <c r="E1043" s="916"/>
      <c r="F1043" s="916"/>
      <c r="G1043" s="915"/>
      <c r="H1043" s="917">
        <v>-38000</v>
      </c>
      <c r="I1043" s="918"/>
      <c r="J1043" s="917">
        <v>1744281</v>
      </c>
    </row>
    <row r="1044" spans="1:10">
      <c r="A1044" t="s">
        <v>4010</v>
      </c>
      <c r="B1044" s="915" t="s">
        <v>3624</v>
      </c>
      <c r="C1044" s="915" t="str">
        <f t="shared" si="16"/>
        <v>11월</v>
      </c>
      <c r="D1044" s="916" t="s">
        <v>3993</v>
      </c>
      <c r="E1044" s="916"/>
      <c r="F1044" s="916"/>
      <c r="G1044" s="915"/>
      <c r="H1044" s="917">
        <v>-38180</v>
      </c>
      <c r="I1044" s="918"/>
      <c r="J1044" s="917">
        <v>5481340</v>
      </c>
    </row>
    <row r="1045" spans="1:10">
      <c r="A1045" t="s">
        <v>4064</v>
      </c>
      <c r="B1045" s="915" t="s">
        <v>3854</v>
      </c>
      <c r="C1045" s="915" t="str">
        <f t="shared" si="16"/>
        <v>12월</v>
      </c>
      <c r="D1045" s="916" t="s">
        <v>4063</v>
      </c>
      <c r="E1045" s="916"/>
      <c r="F1045" s="916"/>
      <c r="G1045" s="915"/>
      <c r="H1045" s="917">
        <v>-41460</v>
      </c>
      <c r="I1045" s="918"/>
      <c r="J1045" s="917">
        <v>1945245</v>
      </c>
    </row>
    <row r="1046" spans="1:10">
      <c r="A1046" t="s">
        <v>4220</v>
      </c>
      <c r="B1046" s="915" t="s">
        <v>4207</v>
      </c>
      <c r="C1046" s="915" t="str">
        <f t="shared" si="16"/>
        <v>9월</v>
      </c>
      <c r="D1046" s="916" t="s">
        <v>4208</v>
      </c>
      <c r="E1046" s="916" t="s">
        <v>4160</v>
      </c>
      <c r="F1046" s="916" t="s">
        <v>4161</v>
      </c>
      <c r="G1046" s="915" t="s">
        <v>4162</v>
      </c>
      <c r="H1046" s="917">
        <v>-52160</v>
      </c>
      <c r="I1046" s="918"/>
      <c r="J1046" s="918"/>
    </row>
    <row r="1047" spans="1:10">
      <c r="A1047" t="s">
        <v>4220</v>
      </c>
      <c r="B1047" s="915" t="s">
        <v>4207</v>
      </c>
      <c r="C1047" s="915" t="str">
        <f t="shared" si="16"/>
        <v>9월</v>
      </c>
      <c r="D1047" s="916" t="s">
        <v>4209</v>
      </c>
      <c r="E1047" s="916" t="s">
        <v>4197</v>
      </c>
      <c r="F1047" s="916" t="s">
        <v>4198</v>
      </c>
      <c r="G1047" s="915" t="s">
        <v>4199</v>
      </c>
      <c r="H1047" s="917">
        <v>-52160</v>
      </c>
      <c r="I1047" s="918"/>
      <c r="J1047" s="918"/>
    </row>
    <row r="1048" spans="1:10">
      <c r="A1048" t="s">
        <v>4220</v>
      </c>
      <c r="B1048" s="915" t="s">
        <v>4207</v>
      </c>
      <c r="C1048" s="915" t="str">
        <f t="shared" si="16"/>
        <v>9월</v>
      </c>
      <c r="D1048" s="916" t="s">
        <v>4210</v>
      </c>
      <c r="E1048" s="916" t="s">
        <v>4202</v>
      </c>
      <c r="F1048" s="916" t="s">
        <v>4203</v>
      </c>
      <c r="G1048" s="915" t="s">
        <v>4204</v>
      </c>
      <c r="H1048" s="917">
        <v>-52160</v>
      </c>
      <c r="I1048" s="918"/>
      <c r="J1048" s="917">
        <v>7346900</v>
      </c>
    </row>
    <row r="1049" spans="1:10">
      <c r="A1049" t="s">
        <v>4220</v>
      </c>
      <c r="B1049" s="915" t="s">
        <v>3776</v>
      </c>
      <c r="C1049" s="915" t="str">
        <f t="shared" si="16"/>
        <v>7월</v>
      </c>
      <c r="D1049" s="916" t="s">
        <v>4195</v>
      </c>
      <c r="E1049" s="916" t="s">
        <v>4160</v>
      </c>
      <c r="F1049" s="916" t="s">
        <v>4161</v>
      </c>
      <c r="G1049" s="915" t="s">
        <v>4162</v>
      </c>
      <c r="H1049" s="917">
        <v>-57670</v>
      </c>
      <c r="I1049" s="918"/>
      <c r="J1049" s="918"/>
    </row>
    <row r="1050" spans="1:10">
      <c r="A1050" t="s">
        <v>4597</v>
      </c>
      <c r="B1050" s="915" t="s">
        <v>3613</v>
      </c>
      <c r="C1050" s="915" t="str">
        <f t="shared" si="16"/>
        <v>6월</v>
      </c>
      <c r="D1050" s="916" t="s">
        <v>4495</v>
      </c>
      <c r="E1050" s="916" t="s">
        <v>4390</v>
      </c>
      <c r="F1050" s="916" t="s">
        <v>4391</v>
      </c>
      <c r="G1050" s="915" t="s">
        <v>4392</v>
      </c>
      <c r="H1050" s="917">
        <v>-75160</v>
      </c>
      <c r="I1050" s="918"/>
      <c r="J1050" s="917">
        <v>16427655</v>
      </c>
    </row>
    <row r="1051" spans="1:10">
      <c r="A1051" t="s">
        <v>4597</v>
      </c>
      <c r="B1051" s="915" t="s">
        <v>4497</v>
      </c>
      <c r="C1051" s="915" t="str">
        <f t="shared" si="16"/>
        <v>7월</v>
      </c>
      <c r="D1051" s="916" t="s">
        <v>4498</v>
      </c>
      <c r="E1051" s="916" t="s">
        <v>4202</v>
      </c>
      <c r="F1051" s="916" t="s">
        <v>4203</v>
      </c>
      <c r="G1051" s="915" t="s">
        <v>4204</v>
      </c>
      <c r="H1051" s="917">
        <v>-75160</v>
      </c>
      <c r="I1051" s="918"/>
      <c r="J1051" s="917">
        <v>16381075</v>
      </c>
    </row>
    <row r="1052" spans="1:10">
      <c r="A1052" t="s">
        <v>4597</v>
      </c>
      <c r="B1052" s="915" t="s">
        <v>3776</v>
      </c>
      <c r="C1052" s="915" t="str">
        <f t="shared" si="16"/>
        <v>7월</v>
      </c>
      <c r="D1052" s="916" t="s">
        <v>4513</v>
      </c>
      <c r="E1052" s="916" t="s">
        <v>4197</v>
      </c>
      <c r="F1052" s="916" t="s">
        <v>4198</v>
      </c>
      <c r="G1052" s="915" t="s">
        <v>4199</v>
      </c>
      <c r="H1052" s="917">
        <v>-75160</v>
      </c>
      <c r="I1052" s="918"/>
      <c r="J1052" s="918"/>
    </row>
    <row r="1053" spans="1:10">
      <c r="A1053" t="s">
        <v>4597</v>
      </c>
      <c r="B1053" s="915" t="s">
        <v>4200</v>
      </c>
      <c r="C1053" s="915" t="str">
        <f t="shared" si="16"/>
        <v>8월</v>
      </c>
      <c r="D1053" s="916" t="s">
        <v>4517</v>
      </c>
      <c r="E1053" s="916" t="s">
        <v>4202</v>
      </c>
      <c r="F1053" s="916" t="s">
        <v>4203</v>
      </c>
      <c r="G1053" s="915" t="s">
        <v>4204</v>
      </c>
      <c r="H1053" s="917">
        <v>-75160</v>
      </c>
      <c r="I1053" s="918"/>
      <c r="J1053" s="917">
        <v>17454887</v>
      </c>
    </row>
    <row r="1054" spans="1:10">
      <c r="A1054" t="s">
        <v>4597</v>
      </c>
      <c r="B1054" s="915" t="s">
        <v>4532</v>
      </c>
      <c r="C1054" s="915" t="str">
        <f t="shared" si="16"/>
        <v>8월</v>
      </c>
      <c r="D1054" s="916" t="s">
        <v>4535</v>
      </c>
      <c r="E1054" s="916" t="s">
        <v>4197</v>
      </c>
      <c r="F1054" s="916" t="s">
        <v>4198</v>
      </c>
      <c r="G1054" s="915" t="s">
        <v>4199</v>
      </c>
      <c r="H1054" s="917">
        <v>-75160</v>
      </c>
      <c r="I1054" s="918"/>
      <c r="J1054" s="918"/>
    </row>
    <row r="1055" spans="1:10">
      <c r="A1055" t="s">
        <v>4597</v>
      </c>
      <c r="B1055" s="915" t="s">
        <v>4532</v>
      </c>
      <c r="C1055" s="915" t="str">
        <f t="shared" si="16"/>
        <v>8월</v>
      </c>
      <c r="D1055" s="916" t="s">
        <v>4536</v>
      </c>
      <c r="E1055" s="916" t="s">
        <v>4202</v>
      </c>
      <c r="F1055" s="916" t="s">
        <v>4203</v>
      </c>
      <c r="G1055" s="915" t="s">
        <v>4204</v>
      </c>
      <c r="H1055" s="917">
        <v>-75160</v>
      </c>
      <c r="I1055" s="918"/>
      <c r="J1055" s="917">
        <v>18043909</v>
      </c>
    </row>
    <row r="1056" spans="1:10">
      <c r="A1056" t="s">
        <v>4597</v>
      </c>
      <c r="B1056" s="915" t="s">
        <v>4207</v>
      </c>
      <c r="C1056" s="915" t="str">
        <f t="shared" si="16"/>
        <v>9월</v>
      </c>
      <c r="D1056" s="916" t="s">
        <v>4541</v>
      </c>
      <c r="E1056" s="916" t="s">
        <v>4197</v>
      </c>
      <c r="F1056" s="916" t="s">
        <v>4198</v>
      </c>
      <c r="G1056" s="915" t="s">
        <v>4199</v>
      </c>
      <c r="H1056" s="917">
        <v>-75160</v>
      </c>
      <c r="I1056" s="918"/>
      <c r="J1056" s="918"/>
    </row>
    <row r="1057" spans="1:10">
      <c r="A1057" t="s">
        <v>4597</v>
      </c>
      <c r="B1057" s="915" t="s">
        <v>4207</v>
      </c>
      <c r="C1057" s="915" t="str">
        <f t="shared" si="16"/>
        <v>9월</v>
      </c>
      <c r="D1057" s="916" t="s">
        <v>4542</v>
      </c>
      <c r="E1057" s="916" t="s">
        <v>4202</v>
      </c>
      <c r="F1057" s="916" t="s">
        <v>4203</v>
      </c>
      <c r="G1057" s="915" t="s">
        <v>4204</v>
      </c>
      <c r="H1057" s="917">
        <v>-75160</v>
      </c>
      <c r="I1057" s="918"/>
      <c r="J1057" s="917">
        <v>18536974</v>
      </c>
    </row>
    <row r="1058" spans="1:10">
      <c r="A1058" t="s">
        <v>4597</v>
      </c>
      <c r="B1058" s="915" t="s">
        <v>3824</v>
      </c>
      <c r="C1058" s="915" t="str">
        <f t="shared" si="16"/>
        <v>10월</v>
      </c>
      <c r="D1058" s="916" t="s">
        <v>4551</v>
      </c>
      <c r="E1058" s="916" t="s">
        <v>4202</v>
      </c>
      <c r="F1058" s="916" t="s">
        <v>4203</v>
      </c>
      <c r="G1058" s="915" t="s">
        <v>4204</v>
      </c>
      <c r="H1058" s="917">
        <v>-75160</v>
      </c>
      <c r="I1058" s="918"/>
      <c r="J1058" s="918"/>
    </row>
    <row r="1059" spans="1:10">
      <c r="A1059" t="s">
        <v>4597</v>
      </c>
      <c r="B1059" s="915" t="s">
        <v>3824</v>
      </c>
      <c r="C1059" s="915" t="str">
        <f t="shared" si="16"/>
        <v>10월</v>
      </c>
      <c r="D1059" s="916" t="s">
        <v>4552</v>
      </c>
      <c r="E1059" s="916" t="s">
        <v>4197</v>
      </c>
      <c r="F1059" s="916" t="s">
        <v>4198</v>
      </c>
      <c r="G1059" s="915" t="s">
        <v>4199</v>
      </c>
      <c r="H1059" s="917">
        <v>-75160</v>
      </c>
      <c r="I1059" s="918"/>
      <c r="J1059" s="917">
        <v>19055219</v>
      </c>
    </row>
    <row r="1060" spans="1:10">
      <c r="A1060" t="s">
        <v>4597</v>
      </c>
      <c r="B1060" s="915" t="s">
        <v>3841</v>
      </c>
      <c r="C1060" s="915" t="str">
        <f t="shared" si="16"/>
        <v>11월</v>
      </c>
      <c r="D1060" s="916" t="s">
        <v>4583</v>
      </c>
      <c r="E1060" s="916" t="s">
        <v>4202</v>
      </c>
      <c r="F1060" s="916" t="s">
        <v>4203</v>
      </c>
      <c r="G1060" s="915" t="s">
        <v>4204</v>
      </c>
      <c r="H1060" s="917">
        <v>-75160</v>
      </c>
      <c r="I1060" s="918"/>
      <c r="J1060" s="918"/>
    </row>
    <row r="1061" spans="1:10">
      <c r="A1061" t="s">
        <v>4597</v>
      </c>
      <c r="B1061" s="915" t="s">
        <v>3841</v>
      </c>
      <c r="C1061" s="915" t="str">
        <f t="shared" si="16"/>
        <v>11월</v>
      </c>
      <c r="D1061" s="916" t="s">
        <v>4584</v>
      </c>
      <c r="E1061" s="916" t="s">
        <v>4197</v>
      </c>
      <c r="F1061" s="916" t="s">
        <v>4198</v>
      </c>
      <c r="G1061" s="915" t="s">
        <v>4199</v>
      </c>
      <c r="H1061" s="917">
        <v>-75160</v>
      </c>
      <c r="I1061" s="918"/>
      <c r="J1061" s="918"/>
    </row>
    <row r="1062" spans="1:10">
      <c r="A1062" t="s">
        <v>4597</v>
      </c>
      <c r="B1062" s="915" t="s">
        <v>3332</v>
      </c>
      <c r="C1062" s="915" t="str">
        <f t="shared" si="16"/>
        <v>12월</v>
      </c>
      <c r="D1062" s="916" t="s">
        <v>4595</v>
      </c>
      <c r="E1062" s="916" t="s">
        <v>4197</v>
      </c>
      <c r="F1062" s="916" t="s">
        <v>4198</v>
      </c>
      <c r="G1062" s="915" t="s">
        <v>4199</v>
      </c>
      <c r="H1062" s="917">
        <v>-75160</v>
      </c>
      <c r="I1062" s="918"/>
      <c r="J1062" s="918"/>
    </row>
    <row r="1063" spans="1:10">
      <c r="A1063" t="s">
        <v>4220</v>
      </c>
      <c r="B1063" s="915" t="s">
        <v>3747</v>
      </c>
      <c r="C1063" s="915" t="str">
        <f t="shared" si="16"/>
        <v>5월</v>
      </c>
      <c r="D1063" s="916" t="s">
        <v>4188</v>
      </c>
      <c r="E1063" s="916" t="s">
        <v>4160</v>
      </c>
      <c r="F1063" s="916" t="s">
        <v>4161</v>
      </c>
      <c r="G1063" s="915" t="s">
        <v>4162</v>
      </c>
      <c r="H1063" s="917">
        <v>-79150</v>
      </c>
      <c r="I1063" s="918"/>
      <c r="J1063" s="918"/>
    </row>
    <row r="1064" spans="1:10">
      <c r="A1064" t="s">
        <v>4064</v>
      </c>
      <c r="B1064" s="915" t="s">
        <v>4011</v>
      </c>
      <c r="C1064" s="915" t="str">
        <f t="shared" si="16"/>
        <v>2월</v>
      </c>
      <c r="D1064" s="916" t="s">
        <v>4012</v>
      </c>
      <c r="E1064" s="916"/>
      <c r="F1064" s="916"/>
      <c r="G1064" s="915"/>
      <c r="H1064" s="917">
        <v>-79930</v>
      </c>
      <c r="I1064" s="918"/>
      <c r="J1064" s="917">
        <v>-79930</v>
      </c>
    </row>
    <row r="1065" spans="1:10">
      <c r="A1065" t="s">
        <v>4220</v>
      </c>
      <c r="B1065" s="915" t="s">
        <v>4177</v>
      </c>
      <c r="C1065" s="915" t="str">
        <f t="shared" si="16"/>
        <v>3월</v>
      </c>
      <c r="D1065" s="916" t="s">
        <v>4178</v>
      </c>
      <c r="E1065" s="916" t="s">
        <v>4179</v>
      </c>
      <c r="F1065" s="916" t="s">
        <v>4112</v>
      </c>
      <c r="G1065" s="915"/>
      <c r="H1065" s="917">
        <v>-82430</v>
      </c>
      <c r="I1065" s="918"/>
      <c r="J1065" s="918"/>
    </row>
    <row r="1066" spans="1:10">
      <c r="A1066" t="s">
        <v>4220</v>
      </c>
      <c r="B1066" s="915" t="s">
        <v>3649</v>
      </c>
      <c r="C1066" s="915" t="str">
        <f t="shared" si="16"/>
        <v>1월</v>
      </c>
      <c r="D1066" s="916" t="s">
        <v>4159</v>
      </c>
      <c r="E1066" s="916" t="s">
        <v>4160</v>
      </c>
      <c r="F1066" s="916" t="s">
        <v>4161</v>
      </c>
      <c r="G1066" s="915" t="s">
        <v>4162</v>
      </c>
      <c r="H1066" s="917">
        <v>-83080</v>
      </c>
      <c r="I1066" s="918"/>
      <c r="J1066" s="918"/>
    </row>
    <row r="1067" spans="1:10">
      <c r="A1067" t="s">
        <v>4220</v>
      </c>
      <c r="B1067" s="915" t="s">
        <v>3841</v>
      </c>
      <c r="C1067" s="915" t="str">
        <f t="shared" si="16"/>
        <v>11월</v>
      </c>
      <c r="D1067" s="916" t="s">
        <v>4212</v>
      </c>
      <c r="E1067" s="916" t="s">
        <v>4202</v>
      </c>
      <c r="F1067" s="916" t="s">
        <v>4203</v>
      </c>
      <c r="G1067" s="915" t="s">
        <v>4204</v>
      </c>
      <c r="H1067" s="917">
        <v>-84360</v>
      </c>
      <c r="I1067" s="918"/>
      <c r="J1067" s="918"/>
    </row>
    <row r="1068" spans="1:10">
      <c r="A1068" t="s">
        <v>4220</v>
      </c>
      <c r="B1068" s="915" t="s">
        <v>3841</v>
      </c>
      <c r="C1068" s="915" t="str">
        <f t="shared" si="16"/>
        <v>11월</v>
      </c>
      <c r="D1068" s="916" t="s">
        <v>4213</v>
      </c>
      <c r="E1068" s="916" t="s">
        <v>4197</v>
      </c>
      <c r="F1068" s="916" t="s">
        <v>4198</v>
      </c>
      <c r="G1068" s="915" t="s">
        <v>4199</v>
      </c>
      <c r="H1068" s="917">
        <v>-84360</v>
      </c>
      <c r="I1068" s="918"/>
      <c r="J1068" s="918"/>
    </row>
    <row r="1069" spans="1:10">
      <c r="A1069" t="s">
        <v>4220</v>
      </c>
      <c r="B1069" s="915" t="s">
        <v>3841</v>
      </c>
      <c r="C1069" s="915" t="str">
        <f t="shared" si="16"/>
        <v>11월</v>
      </c>
      <c r="D1069" s="916" t="s">
        <v>4214</v>
      </c>
      <c r="E1069" s="916" t="s">
        <v>4160</v>
      </c>
      <c r="F1069" s="916" t="s">
        <v>4161</v>
      </c>
      <c r="G1069" s="915" t="s">
        <v>4162</v>
      </c>
      <c r="H1069" s="917">
        <v>-84360</v>
      </c>
      <c r="I1069" s="918"/>
      <c r="J1069" s="917">
        <v>8301270</v>
      </c>
    </row>
    <row r="1070" spans="1:10">
      <c r="A1070" t="s">
        <v>4292</v>
      </c>
      <c r="B1070" s="915" t="s">
        <v>4266</v>
      </c>
      <c r="C1070" s="915" t="str">
        <f t="shared" si="16"/>
        <v>7월</v>
      </c>
      <c r="D1070" s="916" t="s">
        <v>4267</v>
      </c>
      <c r="E1070" s="916"/>
      <c r="F1070" s="916"/>
      <c r="G1070" s="915"/>
      <c r="H1070" s="917">
        <v>-111410</v>
      </c>
      <c r="I1070" s="918"/>
      <c r="J1070" s="917">
        <v>249600</v>
      </c>
    </row>
    <row r="1071" spans="1:10">
      <c r="A1071" t="s">
        <v>4292</v>
      </c>
      <c r="B1071" s="915" t="s">
        <v>3698</v>
      </c>
      <c r="C1071" s="915" t="str">
        <f t="shared" si="16"/>
        <v>3월</v>
      </c>
      <c r="D1071" s="916" t="s">
        <v>4239</v>
      </c>
      <c r="E1071" s="916"/>
      <c r="F1071" s="916"/>
      <c r="G1071" s="915"/>
      <c r="H1071" s="917">
        <v>-114500</v>
      </c>
      <c r="I1071" s="918"/>
      <c r="J1071" s="917">
        <v>317570</v>
      </c>
    </row>
    <row r="1072" spans="1:10">
      <c r="A1072" t="s">
        <v>4292</v>
      </c>
      <c r="B1072" s="915" t="s">
        <v>3608</v>
      </c>
      <c r="C1072" s="915" t="str">
        <f t="shared" si="16"/>
        <v>6월</v>
      </c>
      <c r="D1072" s="916" t="s">
        <v>4260</v>
      </c>
      <c r="E1072" s="916"/>
      <c r="F1072" s="916"/>
      <c r="G1072" s="915"/>
      <c r="H1072" s="917">
        <v>-132010</v>
      </c>
      <c r="I1072" s="918"/>
      <c r="J1072" s="917">
        <v>239610</v>
      </c>
    </row>
    <row r="1073" spans="1:10">
      <c r="A1073" t="s">
        <v>4597</v>
      </c>
      <c r="B1073" s="915" t="s">
        <v>3649</v>
      </c>
      <c r="C1073" s="915" t="str">
        <f t="shared" si="16"/>
        <v>1월</v>
      </c>
      <c r="D1073" s="916" t="s">
        <v>4397</v>
      </c>
      <c r="E1073" s="916" t="s">
        <v>4160</v>
      </c>
      <c r="F1073" s="916" t="s">
        <v>4161</v>
      </c>
      <c r="G1073" s="915" t="s">
        <v>4162</v>
      </c>
      <c r="H1073" s="917">
        <v>-150320</v>
      </c>
      <c r="I1073" s="918"/>
      <c r="J1073" s="918"/>
    </row>
    <row r="1074" spans="1:10">
      <c r="A1074" t="s">
        <v>4597</v>
      </c>
      <c r="B1074" s="915" t="s">
        <v>3649</v>
      </c>
      <c r="C1074" s="915" t="str">
        <f t="shared" si="16"/>
        <v>1월</v>
      </c>
      <c r="D1074" s="916" t="s">
        <v>4398</v>
      </c>
      <c r="E1074" s="916" t="s">
        <v>4164</v>
      </c>
      <c r="F1074" s="916" t="s">
        <v>4165</v>
      </c>
      <c r="G1074" s="915" t="s">
        <v>4166</v>
      </c>
      <c r="H1074" s="917">
        <v>-150320</v>
      </c>
      <c r="I1074" s="918"/>
      <c r="J1074" s="918"/>
    </row>
    <row r="1075" spans="1:10">
      <c r="A1075" t="s">
        <v>4597</v>
      </c>
      <c r="B1075" s="915" t="s">
        <v>4418</v>
      </c>
      <c r="C1075" s="915" t="str">
        <f t="shared" si="16"/>
        <v>3월</v>
      </c>
      <c r="D1075" s="916" t="s">
        <v>4419</v>
      </c>
      <c r="E1075" s="916" t="s">
        <v>4390</v>
      </c>
      <c r="F1075" s="916" t="s">
        <v>4391</v>
      </c>
      <c r="G1075" s="915" t="s">
        <v>4392</v>
      </c>
      <c r="H1075" s="917">
        <v>-150320</v>
      </c>
      <c r="I1075" s="918"/>
      <c r="J1075" s="917">
        <v>1378728</v>
      </c>
    </row>
    <row r="1076" spans="1:10">
      <c r="A1076" t="s">
        <v>4597</v>
      </c>
      <c r="B1076" s="915" t="s">
        <v>4133</v>
      </c>
      <c r="C1076" s="915" t="str">
        <f t="shared" si="16"/>
        <v>3월</v>
      </c>
      <c r="D1076" s="916" t="s">
        <v>4420</v>
      </c>
      <c r="E1076" s="916" t="s">
        <v>4164</v>
      </c>
      <c r="F1076" s="916" t="s">
        <v>4165</v>
      </c>
      <c r="G1076" s="915" t="s">
        <v>4166</v>
      </c>
      <c r="H1076" s="917">
        <v>-150320</v>
      </c>
      <c r="I1076" s="918"/>
      <c r="J1076" s="917">
        <v>1228408</v>
      </c>
    </row>
    <row r="1077" spans="1:10">
      <c r="A1077" t="s">
        <v>4597</v>
      </c>
      <c r="B1077" s="915" t="s">
        <v>4177</v>
      </c>
      <c r="C1077" s="915" t="str">
        <f t="shared" si="16"/>
        <v>3월</v>
      </c>
      <c r="D1077" s="916" t="s">
        <v>4436</v>
      </c>
      <c r="E1077" s="916" t="s">
        <v>4390</v>
      </c>
      <c r="F1077" s="916" t="s">
        <v>4391</v>
      </c>
      <c r="G1077" s="915" t="s">
        <v>4392</v>
      </c>
      <c r="H1077" s="917">
        <v>-150320</v>
      </c>
      <c r="I1077" s="918"/>
      <c r="J1077" s="918"/>
    </row>
    <row r="1078" spans="1:10">
      <c r="A1078" t="s">
        <v>4597</v>
      </c>
      <c r="B1078" s="915" t="s">
        <v>4177</v>
      </c>
      <c r="C1078" s="915" t="str">
        <f t="shared" si="16"/>
        <v>3월</v>
      </c>
      <c r="D1078" s="916" t="s">
        <v>4437</v>
      </c>
      <c r="E1078" s="916" t="s">
        <v>4390</v>
      </c>
      <c r="F1078" s="916" t="s">
        <v>4391</v>
      </c>
      <c r="G1078" s="915" t="s">
        <v>4392</v>
      </c>
      <c r="H1078" s="917">
        <v>-150320</v>
      </c>
      <c r="I1078" s="918"/>
      <c r="J1078" s="918"/>
    </row>
    <row r="1079" spans="1:10">
      <c r="A1079" t="s">
        <v>4597</v>
      </c>
      <c r="B1079" s="915" t="s">
        <v>4332</v>
      </c>
      <c r="C1079" s="915" t="str">
        <f t="shared" si="16"/>
        <v>4월</v>
      </c>
      <c r="D1079" s="916" t="s">
        <v>4455</v>
      </c>
      <c r="E1079" s="916" t="s">
        <v>4390</v>
      </c>
      <c r="F1079" s="916" t="s">
        <v>4391</v>
      </c>
      <c r="G1079" s="915" t="s">
        <v>4392</v>
      </c>
      <c r="H1079" s="917">
        <v>-150320</v>
      </c>
      <c r="I1079" s="918"/>
      <c r="J1079" s="917">
        <v>11896796</v>
      </c>
    </row>
    <row r="1080" spans="1:10">
      <c r="A1080" t="s">
        <v>4597</v>
      </c>
      <c r="B1080" s="915" t="s">
        <v>4456</v>
      </c>
      <c r="C1080" s="915" t="str">
        <f t="shared" si="16"/>
        <v>5월</v>
      </c>
      <c r="D1080" s="916" t="s">
        <v>4457</v>
      </c>
      <c r="E1080" s="916" t="s">
        <v>4390</v>
      </c>
      <c r="F1080" s="916" t="s">
        <v>4391</v>
      </c>
      <c r="G1080" s="915" t="s">
        <v>4392</v>
      </c>
      <c r="H1080" s="917">
        <v>-150320</v>
      </c>
      <c r="I1080" s="918"/>
      <c r="J1080" s="917">
        <v>11746716</v>
      </c>
    </row>
    <row r="1081" spans="1:10">
      <c r="A1081" t="s">
        <v>4597</v>
      </c>
      <c r="B1081" s="915" t="s">
        <v>3747</v>
      </c>
      <c r="C1081" s="915" t="str">
        <f t="shared" si="16"/>
        <v>5월</v>
      </c>
      <c r="D1081" s="916" t="s">
        <v>4476</v>
      </c>
      <c r="E1081" s="916" t="s">
        <v>4160</v>
      </c>
      <c r="F1081" s="916" t="s">
        <v>4161</v>
      </c>
      <c r="G1081" s="915" t="s">
        <v>4162</v>
      </c>
      <c r="H1081" s="917">
        <v>-150320</v>
      </c>
      <c r="I1081" s="918"/>
      <c r="J1081" s="918"/>
    </row>
    <row r="1082" spans="1:10">
      <c r="A1082" t="s">
        <v>4597</v>
      </c>
      <c r="B1082" s="915" t="s">
        <v>3747</v>
      </c>
      <c r="C1082" s="915" t="str">
        <f t="shared" si="16"/>
        <v>5월</v>
      </c>
      <c r="D1082" s="916" t="s">
        <v>4477</v>
      </c>
      <c r="E1082" s="916" t="s">
        <v>4164</v>
      </c>
      <c r="F1082" s="916" t="s">
        <v>4165</v>
      </c>
      <c r="G1082" s="915" t="s">
        <v>4166</v>
      </c>
      <c r="H1082" s="917">
        <v>-150320</v>
      </c>
      <c r="I1082" s="918"/>
      <c r="J1082" s="917">
        <v>15672032</v>
      </c>
    </row>
    <row r="1083" spans="1:10">
      <c r="A1083" t="s">
        <v>4597</v>
      </c>
      <c r="B1083" s="915" t="s">
        <v>3613</v>
      </c>
      <c r="C1083" s="915" t="str">
        <f t="shared" si="16"/>
        <v>6월</v>
      </c>
      <c r="D1083" s="916" t="s">
        <v>4494</v>
      </c>
      <c r="E1083" s="916" t="s">
        <v>4390</v>
      </c>
      <c r="F1083" s="916" t="s">
        <v>4391</v>
      </c>
      <c r="G1083" s="915" t="s">
        <v>4392</v>
      </c>
      <c r="H1083" s="917">
        <v>-150320</v>
      </c>
      <c r="I1083" s="918"/>
      <c r="J1083" s="918"/>
    </row>
    <row r="1084" spans="1:10">
      <c r="A1084" t="s">
        <v>4597</v>
      </c>
      <c r="B1084" s="915" t="s">
        <v>3776</v>
      </c>
      <c r="C1084" s="915" t="str">
        <f t="shared" si="16"/>
        <v>7월</v>
      </c>
      <c r="D1084" s="916" t="s">
        <v>4512</v>
      </c>
      <c r="E1084" s="916" t="s">
        <v>4160</v>
      </c>
      <c r="F1084" s="916" t="s">
        <v>4161</v>
      </c>
      <c r="G1084" s="915" t="s">
        <v>4162</v>
      </c>
      <c r="H1084" s="917">
        <v>-150320</v>
      </c>
      <c r="I1084" s="918"/>
      <c r="J1084" s="918"/>
    </row>
    <row r="1085" spans="1:10">
      <c r="A1085" t="s">
        <v>4597</v>
      </c>
      <c r="B1085" s="915" t="s">
        <v>4532</v>
      </c>
      <c r="C1085" s="915" t="str">
        <f t="shared" si="16"/>
        <v>8월</v>
      </c>
      <c r="D1085" s="916" t="s">
        <v>4534</v>
      </c>
      <c r="E1085" s="916" t="s">
        <v>4160</v>
      </c>
      <c r="F1085" s="916" t="s">
        <v>4161</v>
      </c>
      <c r="G1085" s="915" t="s">
        <v>4162</v>
      </c>
      <c r="H1085" s="917">
        <v>-150320</v>
      </c>
      <c r="I1085" s="918"/>
      <c r="J1085" s="918"/>
    </row>
    <row r="1086" spans="1:10">
      <c r="A1086" t="s">
        <v>4597</v>
      </c>
      <c r="B1086" s="915" t="s">
        <v>4207</v>
      </c>
      <c r="C1086" s="915" t="str">
        <f t="shared" si="16"/>
        <v>9월</v>
      </c>
      <c r="D1086" s="916" t="s">
        <v>4540</v>
      </c>
      <c r="E1086" s="916" t="s">
        <v>4160</v>
      </c>
      <c r="F1086" s="916" t="s">
        <v>4161</v>
      </c>
      <c r="G1086" s="915" t="s">
        <v>4162</v>
      </c>
      <c r="H1086" s="917">
        <v>-150320</v>
      </c>
      <c r="I1086" s="918"/>
      <c r="J1086" s="918"/>
    </row>
    <row r="1087" spans="1:10">
      <c r="A1087" t="s">
        <v>4597</v>
      </c>
      <c r="B1087" s="915" t="s">
        <v>3824</v>
      </c>
      <c r="C1087" s="915" t="str">
        <f t="shared" si="16"/>
        <v>10월</v>
      </c>
      <c r="D1087" s="916" t="s">
        <v>4550</v>
      </c>
      <c r="E1087" s="916" t="s">
        <v>4160</v>
      </c>
      <c r="F1087" s="916" t="s">
        <v>4161</v>
      </c>
      <c r="G1087" s="915" t="s">
        <v>4162</v>
      </c>
      <c r="H1087" s="917">
        <v>-150320</v>
      </c>
      <c r="I1087" s="918"/>
      <c r="J1087" s="918"/>
    </row>
    <row r="1088" spans="1:10">
      <c r="A1088" t="s">
        <v>4597</v>
      </c>
      <c r="B1088" s="915" t="s">
        <v>3841</v>
      </c>
      <c r="C1088" s="915" t="str">
        <f t="shared" si="16"/>
        <v>11월</v>
      </c>
      <c r="D1088" s="916" t="s">
        <v>4585</v>
      </c>
      <c r="E1088" s="916" t="s">
        <v>4160</v>
      </c>
      <c r="F1088" s="916" t="s">
        <v>4161</v>
      </c>
      <c r="G1088" s="915" t="s">
        <v>4162</v>
      </c>
      <c r="H1088" s="917">
        <v>-150320</v>
      </c>
      <c r="I1088" s="918"/>
      <c r="J1088" s="917">
        <v>19612174</v>
      </c>
    </row>
    <row r="1089" spans="1:10">
      <c r="A1089" t="s">
        <v>4597</v>
      </c>
      <c r="B1089" s="915" t="s">
        <v>3332</v>
      </c>
      <c r="C1089" s="915" t="str">
        <f t="shared" si="16"/>
        <v>12월</v>
      </c>
      <c r="D1089" s="916" t="s">
        <v>4596</v>
      </c>
      <c r="E1089" s="916" t="s">
        <v>4160</v>
      </c>
      <c r="F1089" s="916" t="s">
        <v>4161</v>
      </c>
      <c r="G1089" s="915" t="s">
        <v>4162</v>
      </c>
      <c r="H1089" s="917">
        <v>-150320</v>
      </c>
      <c r="I1089" s="918"/>
      <c r="J1089" s="917">
        <v>20346064</v>
      </c>
    </row>
    <row r="1090" spans="1:10">
      <c r="A1090" t="s">
        <v>4292</v>
      </c>
      <c r="B1090" s="915" t="s">
        <v>3722</v>
      </c>
      <c r="C1090" s="915" t="str">
        <f t="shared" ref="C1090:C1120" si="17">MONTH(B1090)&amp;"월"</f>
        <v>4월</v>
      </c>
      <c r="D1090" s="916" t="s">
        <v>4244</v>
      </c>
      <c r="E1090" s="916"/>
      <c r="F1090" s="916"/>
      <c r="G1090" s="915"/>
      <c r="H1090" s="917">
        <v>-158150</v>
      </c>
      <c r="I1090" s="918"/>
      <c r="J1090" s="918"/>
    </row>
    <row r="1091" spans="1:10">
      <c r="A1091" t="s">
        <v>4292</v>
      </c>
      <c r="B1091" s="915" t="s">
        <v>4186</v>
      </c>
      <c r="C1091" s="915" t="str">
        <f t="shared" si="17"/>
        <v>5월</v>
      </c>
      <c r="D1091" s="916" t="s">
        <v>4250</v>
      </c>
      <c r="E1091" s="916"/>
      <c r="F1091" s="916"/>
      <c r="G1091" s="915"/>
      <c r="H1091" s="917">
        <v>-162890</v>
      </c>
      <c r="I1091" s="918"/>
      <c r="J1091" s="918"/>
    </row>
    <row r="1092" spans="1:10">
      <c r="A1092" t="s">
        <v>4220</v>
      </c>
      <c r="B1092" s="915" t="s">
        <v>4177</v>
      </c>
      <c r="C1092" s="915" t="str">
        <f t="shared" si="17"/>
        <v>3월</v>
      </c>
      <c r="D1092" s="916" t="s">
        <v>4180</v>
      </c>
      <c r="E1092" s="916" t="s">
        <v>4179</v>
      </c>
      <c r="F1092" s="916" t="s">
        <v>4112</v>
      </c>
      <c r="G1092" s="915"/>
      <c r="H1092" s="917">
        <v>-164860</v>
      </c>
      <c r="I1092" s="918"/>
      <c r="J1092" s="917">
        <v>3560240</v>
      </c>
    </row>
    <row r="1093" spans="1:10">
      <c r="A1093" t="s">
        <v>4220</v>
      </c>
      <c r="B1093" s="915" t="s">
        <v>3649</v>
      </c>
      <c r="C1093" s="915" t="str">
        <f t="shared" si="17"/>
        <v>1월</v>
      </c>
      <c r="D1093" s="916" t="s">
        <v>4163</v>
      </c>
      <c r="E1093" s="916" t="s">
        <v>4164</v>
      </c>
      <c r="F1093" s="916" t="s">
        <v>4165</v>
      </c>
      <c r="G1093" s="915" t="s">
        <v>4166</v>
      </c>
      <c r="H1093" s="917">
        <v>-166160</v>
      </c>
      <c r="I1093" s="918"/>
      <c r="J1093" s="917">
        <v>1245290</v>
      </c>
    </row>
    <row r="1094" spans="1:10">
      <c r="A1094" t="s">
        <v>4292</v>
      </c>
      <c r="B1094" s="915" t="s">
        <v>3838</v>
      </c>
      <c r="C1094" s="915" t="str">
        <f t="shared" si="17"/>
        <v>11월</v>
      </c>
      <c r="D1094" s="916" t="s">
        <v>4284</v>
      </c>
      <c r="E1094" s="916"/>
      <c r="F1094" s="916"/>
      <c r="G1094" s="915"/>
      <c r="H1094" s="917">
        <v>-169650</v>
      </c>
      <c r="I1094" s="918"/>
      <c r="J1094" s="918"/>
    </row>
    <row r="1095" spans="1:10">
      <c r="A1095" t="s">
        <v>4292</v>
      </c>
      <c r="B1095" s="915" t="s">
        <v>4142</v>
      </c>
      <c r="C1095" s="915" t="str">
        <f t="shared" si="17"/>
        <v>8월</v>
      </c>
      <c r="D1095" s="916" t="s">
        <v>4271</v>
      </c>
      <c r="E1095" s="916"/>
      <c r="F1095" s="916"/>
      <c r="G1095" s="915"/>
      <c r="H1095" s="917">
        <v>-170200</v>
      </c>
      <c r="I1095" s="918"/>
      <c r="J1095" s="918"/>
    </row>
    <row r="1096" spans="1:10">
      <c r="A1096" t="s">
        <v>4292</v>
      </c>
      <c r="B1096" s="915" t="s">
        <v>4144</v>
      </c>
      <c r="C1096" s="915" t="str">
        <f t="shared" si="17"/>
        <v>10월</v>
      </c>
      <c r="D1096" s="916" t="s">
        <v>4280</v>
      </c>
      <c r="E1096" s="916"/>
      <c r="F1096" s="916"/>
      <c r="G1096" s="915"/>
      <c r="H1096" s="917">
        <v>-172470</v>
      </c>
      <c r="I1096" s="918"/>
      <c r="J1096" s="918"/>
    </row>
    <row r="1097" spans="1:10">
      <c r="A1097" t="s">
        <v>4292</v>
      </c>
      <c r="B1097" s="915" t="s">
        <v>4137</v>
      </c>
      <c r="C1097" s="915" t="str">
        <f t="shared" si="17"/>
        <v>3월</v>
      </c>
      <c r="D1097" s="916" t="s">
        <v>4240</v>
      </c>
      <c r="E1097" s="916"/>
      <c r="F1097" s="916"/>
      <c r="G1097" s="915"/>
      <c r="H1097" s="917">
        <v>-172760</v>
      </c>
      <c r="I1097" s="918"/>
      <c r="J1097" s="918"/>
    </row>
    <row r="1098" spans="1:10">
      <c r="A1098" t="s">
        <v>4292</v>
      </c>
      <c r="B1098" s="915" t="s">
        <v>4055</v>
      </c>
      <c r="C1098" s="915" t="str">
        <f t="shared" si="17"/>
        <v>10월</v>
      </c>
      <c r="D1098" s="916" t="s">
        <v>4279</v>
      </c>
      <c r="E1098" s="916"/>
      <c r="F1098" s="916"/>
      <c r="G1098" s="915"/>
      <c r="H1098" s="917">
        <v>-173420</v>
      </c>
      <c r="I1098" s="918"/>
      <c r="J1098" s="917">
        <v>1077620</v>
      </c>
    </row>
    <row r="1099" spans="1:10">
      <c r="A1099" t="s">
        <v>4292</v>
      </c>
      <c r="B1099" s="915" t="s">
        <v>3722</v>
      </c>
      <c r="C1099" s="915" t="str">
        <f t="shared" si="17"/>
        <v>4월</v>
      </c>
      <c r="D1099" s="916" t="s">
        <v>4245</v>
      </c>
      <c r="E1099" s="916"/>
      <c r="F1099" s="916"/>
      <c r="G1099" s="915"/>
      <c r="H1099" s="917">
        <v>-177920</v>
      </c>
      <c r="I1099" s="918"/>
      <c r="J1099" s="918"/>
    </row>
    <row r="1100" spans="1:10">
      <c r="A1100" t="s">
        <v>4292</v>
      </c>
      <c r="B1100" s="915" t="s">
        <v>3771</v>
      </c>
      <c r="C1100" s="915" t="str">
        <f t="shared" si="17"/>
        <v>7월</v>
      </c>
      <c r="D1100" s="916" t="s">
        <v>4262</v>
      </c>
      <c r="E1100" s="916"/>
      <c r="F1100" s="916"/>
      <c r="G1100" s="915"/>
      <c r="H1100" s="917">
        <v>-182470</v>
      </c>
      <c r="I1100" s="918"/>
      <c r="J1100" s="918"/>
    </row>
    <row r="1101" spans="1:10">
      <c r="A1101" t="s">
        <v>4292</v>
      </c>
      <c r="B1101" s="915" t="s">
        <v>4186</v>
      </c>
      <c r="C1101" s="915" t="str">
        <f t="shared" si="17"/>
        <v>5월</v>
      </c>
      <c r="D1101" s="916" t="s">
        <v>4251</v>
      </c>
      <c r="E1101" s="916"/>
      <c r="F1101" s="916"/>
      <c r="G1101" s="915"/>
      <c r="H1101" s="917">
        <v>-182600</v>
      </c>
      <c r="I1101" s="918"/>
      <c r="J1101" s="917">
        <v>263620</v>
      </c>
    </row>
    <row r="1102" spans="1:10">
      <c r="A1102" t="s">
        <v>4292</v>
      </c>
      <c r="B1102" s="915" t="s">
        <v>4035</v>
      </c>
      <c r="C1102" s="915" t="str">
        <f t="shared" si="17"/>
        <v>6월</v>
      </c>
      <c r="D1102" s="916" t="s">
        <v>4258</v>
      </c>
      <c r="E1102" s="916"/>
      <c r="F1102" s="916"/>
      <c r="G1102" s="915"/>
      <c r="H1102" s="917">
        <v>-192460</v>
      </c>
      <c r="I1102" s="918"/>
      <c r="J1102" s="918"/>
    </row>
    <row r="1103" spans="1:10">
      <c r="A1103" t="s">
        <v>4220</v>
      </c>
      <c r="B1103" s="915" t="s">
        <v>3747</v>
      </c>
      <c r="C1103" s="915" t="str">
        <f t="shared" si="17"/>
        <v>5월</v>
      </c>
      <c r="D1103" s="916" t="s">
        <v>4189</v>
      </c>
      <c r="E1103" s="916" t="s">
        <v>4164</v>
      </c>
      <c r="F1103" s="916" t="s">
        <v>4165</v>
      </c>
      <c r="G1103" s="915" t="s">
        <v>4166</v>
      </c>
      <c r="H1103" s="917">
        <v>-237450</v>
      </c>
      <c r="I1103" s="918"/>
      <c r="J1103" s="917">
        <v>5016810</v>
      </c>
    </row>
    <row r="1104" spans="1:10">
      <c r="A1104" t="s">
        <v>4292</v>
      </c>
      <c r="B1104" s="915" t="s">
        <v>4167</v>
      </c>
      <c r="C1104" s="915" t="str">
        <f t="shared" si="17"/>
        <v>2월</v>
      </c>
      <c r="D1104" s="916" t="s">
        <v>4231</v>
      </c>
      <c r="E1104" s="916"/>
      <c r="F1104" s="916"/>
      <c r="G1104" s="915"/>
      <c r="H1104" s="917">
        <v>-281240</v>
      </c>
      <c r="I1104" s="918"/>
      <c r="J1104" s="917">
        <v>105220</v>
      </c>
    </row>
    <row r="1105" spans="1:10">
      <c r="A1105" t="s">
        <v>4010</v>
      </c>
      <c r="B1105" s="915" t="s">
        <v>3711</v>
      </c>
      <c r="C1105" s="915" t="str">
        <f t="shared" si="17"/>
        <v>4월</v>
      </c>
      <c r="D1105" s="916" t="s">
        <v>3948</v>
      </c>
      <c r="E1105" s="916"/>
      <c r="F1105" s="916" t="s">
        <v>3713</v>
      </c>
      <c r="G1105" s="915"/>
      <c r="H1105" s="917">
        <v>-829864</v>
      </c>
      <c r="I1105" s="918"/>
      <c r="J1105" s="917">
        <v>3017320</v>
      </c>
    </row>
    <row r="1106" spans="1:10">
      <c r="A1106" t="s">
        <v>4010</v>
      </c>
      <c r="B1106" s="915" t="s">
        <v>3852</v>
      </c>
      <c r="C1106" s="915" t="str">
        <f t="shared" si="17"/>
        <v>12월</v>
      </c>
      <c r="D1106" s="916" t="s">
        <v>3999</v>
      </c>
      <c r="E1106" s="916"/>
      <c r="F1106" s="916"/>
      <c r="G1106" s="915"/>
      <c r="H1106" s="917">
        <v>-895589</v>
      </c>
      <c r="I1106" s="918"/>
      <c r="J1106" s="917">
        <v>2890781</v>
      </c>
    </row>
    <row r="1107" spans="1:10">
      <c r="A1107" t="s">
        <v>4765</v>
      </c>
      <c r="B1107" s="915" t="s">
        <v>3629</v>
      </c>
      <c r="C1107" s="915" t="str">
        <f t="shared" si="17"/>
        <v>12월</v>
      </c>
      <c r="D1107" s="916" t="s">
        <v>4764</v>
      </c>
      <c r="E1107" s="916" t="s">
        <v>4710</v>
      </c>
      <c r="F1107" s="916" t="s">
        <v>4711</v>
      </c>
      <c r="G1107" s="915" t="s">
        <v>4712</v>
      </c>
      <c r="H1107" s="917">
        <v>-1150000</v>
      </c>
      <c r="I1107" s="918"/>
      <c r="J1107" s="918"/>
    </row>
    <row r="1108" spans="1:10">
      <c r="A1108" t="s">
        <v>4010</v>
      </c>
      <c r="B1108" s="915" t="s">
        <v>3946</v>
      </c>
      <c r="C1108" s="915" t="str">
        <f t="shared" si="17"/>
        <v>3월</v>
      </c>
      <c r="D1108" s="916" t="s">
        <v>3947</v>
      </c>
      <c r="E1108" s="916"/>
      <c r="F1108" s="916"/>
      <c r="G1108" s="915"/>
      <c r="H1108" s="917">
        <v>-1153676</v>
      </c>
      <c r="I1108" s="918"/>
      <c r="J1108" s="917">
        <v>3847184</v>
      </c>
    </row>
    <row r="1109" spans="1:10">
      <c r="A1109" t="s">
        <v>4064</v>
      </c>
      <c r="B1109" s="915" t="s">
        <v>4017</v>
      </c>
      <c r="C1109" s="915" t="str">
        <f t="shared" si="17"/>
        <v>3월</v>
      </c>
      <c r="D1109" s="916" t="s">
        <v>4018</v>
      </c>
      <c r="E1109" s="916"/>
      <c r="F1109" s="916"/>
      <c r="G1109" s="915"/>
      <c r="H1109" s="917">
        <v>-1201365</v>
      </c>
      <c r="I1109" s="918"/>
      <c r="J1109" s="917">
        <v>-1169295</v>
      </c>
    </row>
    <row r="1110" spans="1:10">
      <c r="A1110" t="s">
        <v>4765</v>
      </c>
      <c r="B1110" s="915" t="s">
        <v>3629</v>
      </c>
      <c r="C1110" s="915" t="str">
        <f t="shared" si="17"/>
        <v>12월</v>
      </c>
      <c r="D1110" s="916" t="s">
        <v>4761</v>
      </c>
      <c r="E1110" s="916" t="s">
        <v>4710</v>
      </c>
      <c r="F1110" s="916" t="s">
        <v>4711</v>
      </c>
      <c r="G1110" s="915" t="s">
        <v>4712</v>
      </c>
      <c r="H1110" s="917">
        <v>-1500000</v>
      </c>
      <c r="I1110" s="918"/>
      <c r="J1110" s="918"/>
    </row>
    <row r="1111" spans="1:10">
      <c r="A1111" t="s">
        <v>4765</v>
      </c>
      <c r="B1111" s="915" t="s">
        <v>3629</v>
      </c>
      <c r="C1111" s="915" t="str">
        <f t="shared" si="17"/>
        <v>12월</v>
      </c>
      <c r="D1111" s="916" t="s">
        <v>4763</v>
      </c>
      <c r="E1111" s="916" t="s">
        <v>4659</v>
      </c>
      <c r="F1111" s="916" t="s">
        <v>4660</v>
      </c>
      <c r="G1111" s="915" t="s">
        <v>4661</v>
      </c>
      <c r="H1111" s="917">
        <v>-1730000</v>
      </c>
      <c r="I1111" s="918"/>
      <c r="J1111" s="918"/>
    </row>
    <row r="1112" spans="1:10">
      <c r="A1112" t="s">
        <v>3871</v>
      </c>
      <c r="B1112" s="915" t="s">
        <v>3852</v>
      </c>
      <c r="C1112" s="915" t="str">
        <f t="shared" si="17"/>
        <v>12월</v>
      </c>
      <c r="D1112" s="916" t="s">
        <v>3853</v>
      </c>
      <c r="E1112" s="916"/>
      <c r="F1112" s="916"/>
      <c r="G1112" s="915"/>
      <c r="H1112" s="917">
        <v>-1990000</v>
      </c>
      <c r="I1112" s="918"/>
      <c r="J1112" s="917">
        <v>631911</v>
      </c>
    </row>
    <row r="1113" spans="1:10">
      <c r="A1113" t="s">
        <v>4765</v>
      </c>
      <c r="B1113" s="915" t="s">
        <v>3629</v>
      </c>
      <c r="C1113" s="915" t="str">
        <f t="shared" si="17"/>
        <v>12월</v>
      </c>
      <c r="D1113" s="916" t="s">
        <v>4762</v>
      </c>
      <c r="E1113" s="916" t="s">
        <v>4751</v>
      </c>
      <c r="F1113" s="916" t="s">
        <v>4752</v>
      </c>
      <c r="G1113" s="915" t="s">
        <v>4753</v>
      </c>
      <c r="H1113" s="917">
        <v>-2078000</v>
      </c>
      <c r="I1113" s="918"/>
      <c r="J1113" s="918"/>
    </row>
    <row r="1114" spans="1:10">
      <c r="A1114" t="s">
        <v>4010</v>
      </c>
      <c r="B1114" s="915" t="s">
        <v>3828</v>
      </c>
      <c r="C1114" s="915" t="str">
        <f t="shared" si="17"/>
        <v>11월</v>
      </c>
      <c r="D1114" s="916" t="s">
        <v>3990</v>
      </c>
      <c r="E1114" s="916"/>
      <c r="F1114" s="916"/>
      <c r="G1114" s="915"/>
      <c r="H1114" s="917">
        <v>-2600000</v>
      </c>
      <c r="I1114" s="918"/>
      <c r="J1114" s="917">
        <v>5468740</v>
      </c>
    </row>
    <row r="1115" spans="1:10">
      <c r="A1115" t="s">
        <v>4010</v>
      </c>
      <c r="B1115" s="915" t="s">
        <v>3997</v>
      </c>
      <c r="C1115" s="915" t="str">
        <f t="shared" si="17"/>
        <v>12월</v>
      </c>
      <c r="D1115" s="916" t="s">
        <v>3998</v>
      </c>
      <c r="E1115" s="916"/>
      <c r="F1115" s="916"/>
      <c r="G1115" s="915"/>
      <c r="H1115" s="917">
        <v>-2819520</v>
      </c>
      <c r="I1115" s="918"/>
      <c r="J1115" s="917">
        <v>3786370</v>
      </c>
    </row>
    <row r="1116" spans="1:10">
      <c r="A1116" t="s">
        <v>4765</v>
      </c>
      <c r="B1116" s="915" t="s">
        <v>3629</v>
      </c>
      <c r="C1116" s="915" t="str">
        <f t="shared" si="17"/>
        <v>12월</v>
      </c>
      <c r="D1116" s="916" t="s">
        <v>4760</v>
      </c>
      <c r="E1116" s="916" t="s">
        <v>4710</v>
      </c>
      <c r="F1116" s="916" t="s">
        <v>4711</v>
      </c>
      <c r="G1116" s="915" t="s">
        <v>4712</v>
      </c>
      <c r="H1116" s="917">
        <v>-3000000</v>
      </c>
      <c r="I1116" s="918"/>
      <c r="J1116" s="918"/>
    </row>
    <row r="1117" spans="1:10">
      <c r="A1117" t="s">
        <v>3871</v>
      </c>
      <c r="B1117" s="915" t="s">
        <v>3711</v>
      </c>
      <c r="C1117" s="915" t="str">
        <f t="shared" si="17"/>
        <v>4월</v>
      </c>
      <c r="D1117" s="916" t="s">
        <v>3712</v>
      </c>
      <c r="E1117" s="916"/>
      <c r="F1117" s="916" t="s">
        <v>3713</v>
      </c>
      <c r="G1117" s="915"/>
      <c r="H1117" s="917">
        <v>-4000000</v>
      </c>
      <c r="I1117" s="918"/>
      <c r="J1117" s="917">
        <v>-1802790</v>
      </c>
    </row>
    <row r="1118" spans="1:10" ht="22.5">
      <c r="A1118" t="s">
        <v>4010</v>
      </c>
      <c r="B1118" s="915" t="s">
        <v>3959</v>
      </c>
      <c r="C1118" s="915" t="str">
        <f t="shared" si="17"/>
        <v>6월</v>
      </c>
      <c r="D1118" s="916" t="s">
        <v>3960</v>
      </c>
      <c r="E1118" s="916"/>
      <c r="F1118" s="916" t="s">
        <v>3961</v>
      </c>
      <c r="G1118" s="915"/>
      <c r="H1118" s="917">
        <v>-5000000</v>
      </c>
      <c r="I1118" s="918"/>
      <c r="J1118" s="917">
        <v>340320</v>
      </c>
    </row>
    <row r="1119" spans="1:10">
      <c r="A1119" t="s">
        <v>4148</v>
      </c>
      <c r="B1119" s="915" t="s">
        <v>3629</v>
      </c>
      <c r="C1119" s="915" t="str">
        <f t="shared" si="17"/>
        <v>12월</v>
      </c>
      <c r="D1119" s="916" t="s">
        <v>4146</v>
      </c>
      <c r="E1119" s="916" t="s">
        <v>4147</v>
      </c>
      <c r="F1119" s="916" t="s">
        <v>3191</v>
      </c>
      <c r="G1119" s="915"/>
      <c r="H1119" s="917">
        <v>-6096348</v>
      </c>
      <c r="I1119" s="918"/>
      <c r="J1119" s="918"/>
    </row>
    <row r="1120" spans="1:10">
      <c r="A1120" t="s">
        <v>3871</v>
      </c>
      <c r="B1120" s="915" t="s">
        <v>3629</v>
      </c>
      <c r="C1120" s="915" t="str">
        <f t="shared" si="17"/>
        <v>12월</v>
      </c>
      <c r="D1120" s="916" t="s">
        <v>3630</v>
      </c>
      <c r="E1120" s="916"/>
      <c r="F1120" s="916"/>
      <c r="G1120" s="915"/>
      <c r="H1120" s="918"/>
      <c r="I1120" s="917">
        <v>1006911</v>
      </c>
      <c r="J1120" s="918"/>
    </row>
  </sheetData>
  <phoneticPr fontId="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F79"/>
  <sheetViews>
    <sheetView workbookViewId="0">
      <selection activeCell="B6" sqref="B6"/>
    </sheetView>
  </sheetViews>
  <sheetFormatPr defaultRowHeight="16.5"/>
  <cols>
    <col min="1" max="1" width="9" style="726"/>
    <col min="2" max="2" width="39" style="726" customWidth="1"/>
    <col min="3" max="3" width="15.875" style="726" bestFit="1" customWidth="1"/>
    <col min="4" max="4" width="15.25" style="726" bestFit="1" customWidth="1"/>
    <col min="5" max="5" width="16.375" style="726" bestFit="1" customWidth="1"/>
    <col min="6" max="6" width="15.25" style="726" bestFit="1" customWidth="1"/>
    <col min="7" max="257" width="9" style="726"/>
    <col min="258" max="258" width="39" style="726" customWidth="1"/>
    <col min="259" max="259" width="15.875" style="726" bestFit="1" customWidth="1"/>
    <col min="260" max="260" width="15.25" style="726" bestFit="1" customWidth="1"/>
    <col min="261" max="261" width="16.375" style="726" bestFit="1" customWidth="1"/>
    <col min="262" max="262" width="15.25" style="726" bestFit="1" customWidth="1"/>
    <col min="263" max="513" width="9" style="726"/>
    <col min="514" max="514" width="39" style="726" customWidth="1"/>
    <col min="515" max="515" width="15.875" style="726" bestFit="1" customWidth="1"/>
    <col min="516" max="516" width="15.25" style="726" bestFit="1" customWidth="1"/>
    <col min="517" max="517" width="16.375" style="726" bestFit="1" customWidth="1"/>
    <col min="518" max="518" width="15.25" style="726" bestFit="1" customWidth="1"/>
    <col min="519" max="769" width="9" style="726"/>
    <col min="770" max="770" width="39" style="726" customWidth="1"/>
    <col min="771" max="771" width="15.875" style="726" bestFit="1" customWidth="1"/>
    <col min="772" max="772" width="15.25" style="726" bestFit="1" customWidth="1"/>
    <col min="773" max="773" width="16.375" style="726" bestFit="1" customWidth="1"/>
    <col min="774" max="774" width="15.25" style="726" bestFit="1" customWidth="1"/>
    <col min="775" max="1025" width="9" style="726"/>
    <col min="1026" max="1026" width="39" style="726" customWidth="1"/>
    <col min="1027" max="1027" width="15.875" style="726" bestFit="1" customWidth="1"/>
    <col min="1028" max="1028" width="15.25" style="726" bestFit="1" customWidth="1"/>
    <col min="1029" max="1029" width="16.375" style="726" bestFit="1" customWidth="1"/>
    <col min="1030" max="1030" width="15.25" style="726" bestFit="1" customWidth="1"/>
    <col min="1031" max="1281" width="9" style="726"/>
    <col min="1282" max="1282" width="39" style="726" customWidth="1"/>
    <col min="1283" max="1283" width="15.875" style="726" bestFit="1" customWidth="1"/>
    <col min="1284" max="1284" width="15.25" style="726" bestFit="1" customWidth="1"/>
    <col min="1285" max="1285" width="16.375" style="726" bestFit="1" customWidth="1"/>
    <col min="1286" max="1286" width="15.25" style="726" bestFit="1" customWidth="1"/>
    <col min="1287" max="1537" width="9" style="726"/>
    <col min="1538" max="1538" width="39" style="726" customWidth="1"/>
    <col min="1539" max="1539" width="15.875" style="726" bestFit="1" customWidth="1"/>
    <col min="1540" max="1540" width="15.25" style="726" bestFit="1" customWidth="1"/>
    <col min="1541" max="1541" width="16.375" style="726" bestFit="1" customWidth="1"/>
    <col min="1542" max="1542" width="15.25" style="726" bestFit="1" customWidth="1"/>
    <col min="1543" max="1793" width="9" style="726"/>
    <col min="1794" max="1794" width="39" style="726" customWidth="1"/>
    <col min="1795" max="1795" width="15.875" style="726" bestFit="1" customWidth="1"/>
    <col min="1796" max="1796" width="15.25" style="726" bestFit="1" customWidth="1"/>
    <col min="1797" max="1797" width="16.375" style="726" bestFit="1" customWidth="1"/>
    <col min="1798" max="1798" width="15.25" style="726" bestFit="1" customWidth="1"/>
    <col min="1799" max="2049" width="9" style="726"/>
    <col min="2050" max="2050" width="39" style="726" customWidth="1"/>
    <col min="2051" max="2051" width="15.875" style="726" bestFit="1" customWidth="1"/>
    <col min="2052" max="2052" width="15.25" style="726" bestFit="1" customWidth="1"/>
    <col min="2053" max="2053" width="16.375" style="726" bestFit="1" customWidth="1"/>
    <col min="2054" max="2054" width="15.25" style="726" bestFit="1" customWidth="1"/>
    <col min="2055" max="2305" width="9" style="726"/>
    <col min="2306" max="2306" width="39" style="726" customWidth="1"/>
    <col min="2307" max="2307" width="15.875" style="726" bestFit="1" customWidth="1"/>
    <col min="2308" max="2308" width="15.25" style="726" bestFit="1" customWidth="1"/>
    <col min="2309" max="2309" width="16.375" style="726" bestFit="1" customWidth="1"/>
    <col min="2310" max="2310" width="15.25" style="726" bestFit="1" customWidth="1"/>
    <col min="2311" max="2561" width="9" style="726"/>
    <col min="2562" max="2562" width="39" style="726" customWidth="1"/>
    <col min="2563" max="2563" width="15.875" style="726" bestFit="1" customWidth="1"/>
    <col min="2564" max="2564" width="15.25" style="726" bestFit="1" customWidth="1"/>
    <col min="2565" max="2565" width="16.375" style="726" bestFit="1" customWidth="1"/>
    <col min="2566" max="2566" width="15.25" style="726" bestFit="1" customWidth="1"/>
    <col min="2567" max="2817" width="9" style="726"/>
    <col min="2818" max="2818" width="39" style="726" customWidth="1"/>
    <col min="2819" max="2819" width="15.875" style="726" bestFit="1" customWidth="1"/>
    <col min="2820" max="2820" width="15.25" style="726" bestFit="1" customWidth="1"/>
    <col min="2821" max="2821" width="16.375" style="726" bestFit="1" customWidth="1"/>
    <col min="2822" max="2822" width="15.25" style="726" bestFit="1" customWidth="1"/>
    <col min="2823" max="3073" width="9" style="726"/>
    <col min="3074" max="3074" width="39" style="726" customWidth="1"/>
    <col min="3075" max="3075" width="15.875" style="726" bestFit="1" customWidth="1"/>
    <col min="3076" max="3076" width="15.25" style="726" bestFit="1" customWidth="1"/>
    <col min="3077" max="3077" width="16.375" style="726" bestFit="1" customWidth="1"/>
    <col min="3078" max="3078" width="15.25" style="726" bestFit="1" customWidth="1"/>
    <col min="3079" max="3329" width="9" style="726"/>
    <col min="3330" max="3330" width="39" style="726" customWidth="1"/>
    <col min="3331" max="3331" width="15.875" style="726" bestFit="1" customWidth="1"/>
    <col min="3332" max="3332" width="15.25" style="726" bestFit="1" customWidth="1"/>
    <col min="3333" max="3333" width="16.375" style="726" bestFit="1" customWidth="1"/>
    <col min="3334" max="3334" width="15.25" style="726" bestFit="1" customWidth="1"/>
    <col min="3335" max="3585" width="9" style="726"/>
    <col min="3586" max="3586" width="39" style="726" customWidth="1"/>
    <col min="3587" max="3587" width="15.875" style="726" bestFit="1" customWidth="1"/>
    <col min="3588" max="3588" width="15.25" style="726" bestFit="1" customWidth="1"/>
    <col min="3589" max="3589" width="16.375" style="726" bestFit="1" customWidth="1"/>
    <col min="3590" max="3590" width="15.25" style="726" bestFit="1" customWidth="1"/>
    <col min="3591" max="3841" width="9" style="726"/>
    <col min="3842" max="3842" width="39" style="726" customWidth="1"/>
    <col min="3843" max="3843" width="15.875" style="726" bestFit="1" customWidth="1"/>
    <col min="3844" max="3844" width="15.25" style="726" bestFit="1" customWidth="1"/>
    <col min="3845" max="3845" width="16.375" style="726" bestFit="1" customWidth="1"/>
    <col min="3846" max="3846" width="15.25" style="726" bestFit="1" customWidth="1"/>
    <col min="3847" max="4097" width="9" style="726"/>
    <col min="4098" max="4098" width="39" style="726" customWidth="1"/>
    <col min="4099" max="4099" width="15.875" style="726" bestFit="1" customWidth="1"/>
    <col min="4100" max="4100" width="15.25" style="726" bestFit="1" customWidth="1"/>
    <col min="4101" max="4101" width="16.375" style="726" bestFit="1" customWidth="1"/>
    <col min="4102" max="4102" width="15.25" style="726" bestFit="1" customWidth="1"/>
    <col min="4103" max="4353" width="9" style="726"/>
    <col min="4354" max="4354" width="39" style="726" customWidth="1"/>
    <col min="4355" max="4355" width="15.875" style="726" bestFit="1" customWidth="1"/>
    <col min="4356" max="4356" width="15.25" style="726" bestFit="1" customWidth="1"/>
    <col min="4357" max="4357" width="16.375" style="726" bestFit="1" customWidth="1"/>
    <col min="4358" max="4358" width="15.25" style="726" bestFit="1" customWidth="1"/>
    <col min="4359" max="4609" width="9" style="726"/>
    <col min="4610" max="4610" width="39" style="726" customWidth="1"/>
    <col min="4611" max="4611" width="15.875" style="726" bestFit="1" customWidth="1"/>
    <col min="4612" max="4612" width="15.25" style="726" bestFit="1" customWidth="1"/>
    <col min="4613" max="4613" width="16.375" style="726" bestFit="1" customWidth="1"/>
    <col min="4614" max="4614" width="15.25" style="726" bestFit="1" customWidth="1"/>
    <col min="4615" max="4865" width="9" style="726"/>
    <col min="4866" max="4866" width="39" style="726" customWidth="1"/>
    <col min="4867" max="4867" width="15.875" style="726" bestFit="1" customWidth="1"/>
    <col min="4868" max="4868" width="15.25" style="726" bestFit="1" customWidth="1"/>
    <col min="4869" max="4869" width="16.375" style="726" bestFit="1" customWidth="1"/>
    <col min="4870" max="4870" width="15.25" style="726" bestFit="1" customWidth="1"/>
    <col min="4871" max="5121" width="9" style="726"/>
    <col min="5122" max="5122" width="39" style="726" customWidth="1"/>
    <col min="5123" max="5123" width="15.875" style="726" bestFit="1" customWidth="1"/>
    <col min="5124" max="5124" width="15.25" style="726" bestFit="1" customWidth="1"/>
    <col min="5125" max="5125" width="16.375" style="726" bestFit="1" customWidth="1"/>
    <col min="5126" max="5126" width="15.25" style="726" bestFit="1" customWidth="1"/>
    <col min="5127" max="5377" width="9" style="726"/>
    <col min="5378" max="5378" width="39" style="726" customWidth="1"/>
    <col min="5379" max="5379" width="15.875" style="726" bestFit="1" customWidth="1"/>
    <col min="5380" max="5380" width="15.25" style="726" bestFit="1" customWidth="1"/>
    <col min="5381" max="5381" width="16.375" style="726" bestFit="1" customWidth="1"/>
    <col min="5382" max="5382" width="15.25" style="726" bestFit="1" customWidth="1"/>
    <col min="5383" max="5633" width="9" style="726"/>
    <col min="5634" max="5634" width="39" style="726" customWidth="1"/>
    <col min="5635" max="5635" width="15.875" style="726" bestFit="1" customWidth="1"/>
    <col min="5636" max="5636" width="15.25" style="726" bestFit="1" customWidth="1"/>
    <col min="5637" max="5637" width="16.375" style="726" bestFit="1" customWidth="1"/>
    <col min="5638" max="5638" width="15.25" style="726" bestFit="1" customWidth="1"/>
    <col min="5639" max="5889" width="9" style="726"/>
    <col min="5890" max="5890" width="39" style="726" customWidth="1"/>
    <col min="5891" max="5891" width="15.875" style="726" bestFit="1" customWidth="1"/>
    <col min="5892" max="5892" width="15.25" style="726" bestFit="1" customWidth="1"/>
    <col min="5893" max="5893" width="16.375" style="726" bestFit="1" customWidth="1"/>
    <col min="5894" max="5894" width="15.25" style="726" bestFit="1" customWidth="1"/>
    <col min="5895" max="6145" width="9" style="726"/>
    <col min="6146" max="6146" width="39" style="726" customWidth="1"/>
    <col min="6147" max="6147" width="15.875" style="726" bestFit="1" customWidth="1"/>
    <col min="6148" max="6148" width="15.25" style="726" bestFit="1" customWidth="1"/>
    <col min="6149" max="6149" width="16.375" style="726" bestFit="1" customWidth="1"/>
    <col min="6150" max="6150" width="15.25" style="726" bestFit="1" customWidth="1"/>
    <col min="6151" max="6401" width="9" style="726"/>
    <col min="6402" max="6402" width="39" style="726" customWidth="1"/>
    <col min="6403" max="6403" width="15.875" style="726" bestFit="1" customWidth="1"/>
    <col min="6404" max="6404" width="15.25" style="726" bestFit="1" customWidth="1"/>
    <col min="6405" max="6405" width="16.375" style="726" bestFit="1" customWidth="1"/>
    <col min="6406" max="6406" width="15.25" style="726" bestFit="1" customWidth="1"/>
    <col min="6407" max="6657" width="9" style="726"/>
    <col min="6658" max="6658" width="39" style="726" customWidth="1"/>
    <col min="6659" max="6659" width="15.875" style="726" bestFit="1" customWidth="1"/>
    <col min="6660" max="6660" width="15.25" style="726" bestFit="1" customWidth="1"/>
    <col min="6661" max="6661" width="16.375" style="726" bestFit="1" customWidth="1"/>
    <col min="6662" max="6662" width="15.25" style="726" bestFit="1" customWidth="1"/>
    <col min="6663" max="6913" width="9" style="726"/>
    <col min="6914" max="6914" width="39" style="726" customWidth="1"/>
    <col min="6915" max="6915" width="15.875" style="726" bestFit="1" customWidth="1"/>
    <col min="6916" max="6916" width="15.25" style="726" bestFit="1" customWidth="1"/>
    <col min="6917" max="6917" width="16.375" style="726" bestFit="1" customWidth="1"/>
    <col min="6918" max="6918" width="15.25" style="726" bestFit="1" customWidth="1"/>
    <col min="6919" max="7169" width="9" style="726"/>
    <col min="7170" max="7170" width="39" style="726" customWidth="1"/>
    <col min="7171" max="7171" width="15.875" style="726" bestFit="1" customWidth="1"/>
    <col min="7172" max="7172" width="15.25" style="726" bestFit="1" customWidth="1"/>
    <col min="7173" max="7173" width="16.375" style="726" bestFit="1" customWidth="1"/>
    <col min="7174" max="7174" width="15.25" style="726" bestFit="1" customWidth="1"/>
    <col min="7175" max="7425" width="9" style="726"/>
    <col min="7426" max="7426" width="39" style="726" customWidth="1"/>
    <col min="7427" max="7427" width="15.875" style="726" bestFit="1" customWidth="1"/>
    <col min="7428" max="7428" width="15.25" style="726" bestFit="1" customWidth="1"/>
    <col min="7429" max="7429" width="16.375" style="726" bestFit="1" customWidth="1"/>
    <col min="7430" max="7430" width="15.25" style="726" bestFit="1" customWidth="1"/>
    <col min="7431" max="7681" width="9" style="726"/>
    <col min="7682" max="7682" width="39" style="726" customWidth="1"/>
    <col min="7683" max="7683" width="15.875" style="726" bestFit="1" customWidth="1"/>
    <col min="7684" max="7684" width="15.25" style="726" bestFit="1" customWidth="1"/>
    <col min="7685" max="7685" width="16.375" style="726" bestFit="1" customWidth="1"/>
    <col min="7686" max="7686" width="15.25" style="726" bestFit="1" customWidth="1"/>
    <col min="7687" max="7937" width="9" style="726"/>
    <col min="7938" max="7938" width="39" style="726" customWidth="1"/>
    <col min="7939" max="7939" width="15.875" style="726" bestFit="1" customWidth="1"/>
    <col min="7940" max="7940" width="15.25" style="726" bestFit="1" customWidth="1"/>
    <col min="7941" max="7941" width="16.375" style="726" bestFit="1" customWidth="1"/>
    <col min="7942" max="7942" width="15.25" style="726" bestFit="1" customWidth="1"/>
    <col min="7943" max="8193" width="9" style="726"/>
    <col min="8194" max="8194" width="39" style="726" customWidth="1"/>
    <col min="8195" max="8195" width="15.875" style="726" bestFit="1" customWidth="1"/>
    <col min="8196" max="8196" width="15.25" style="726" bestFit="1" customWidth="1"/>
    <col min="8197" max="8197" width="16.375" style="726" bestFit="1" customWidth="1"/>
    <col min="8198" max="8198" width="15.25" style="726" bestFit="1" customWidth="1"/>
    <col min="8199" max="8449" width="9" style="726"/>
    <col min="8450" max="8450" width="39" style="726" customWidth="1"/>
    <col min="8451" max="8451" width="15.875" style="726" bestFit="1" customWidth="1"/>
    <col min="8452" max="8452" width="15.25" style="726" bestFit="1" customWidth="1"/>
    <col min="8453" max="8453" width="16.375" style="726" bestFit="1" customWidth="1"/>
    <col min="8454" max="8454" width="15.25" style="726" bestFit="1" customWidth="1"/>
    <col min="8455" max="8705" width="9" style="726"/>
    <col min="8706" max="8706" width="39" style="726" customWidth="1"/>
    <col min="8707" max="8707" width="15.875" style="726" bestFit="1" customWidth="1"/>
    <col min="8708" max="8708" width="15.25" style="726" bestFit="1" customWidth="1"/>
    <col min="8709" max="8709" width="16.375" style="726" bestFit="1" customWidth="1"/>
    <col min="8710" max="8710" width="15.25" style="726" bestFit="1" customWidth="1"/>
    <col min="8711" max="8961" width="9" style="726"/>
    <col min="8962" max="8962" width="39" style="726" customWidth="1"/>
    <col min="8963" max="8963" width="15.875" style="726" bestFit="1" customWidth="1"/>
    <col min="8964" max="8964" width="15.25" style="726" bestFit="1" customWidth="1"/>
    <col min="8965" max="8965" width="16.375" style="726" bestFit="1" customWidth="1"/>
    <col min="8966" max="8966" width="15.25" style="726" bestFit="1" customWidth="1"/>
    <col min="8967" max="9217" width="9" style="726"/>
    <col min="9218" max="9218" width="39" style="726" customWidth="1"/>
    <col min="9219" max="9219" width="15.875" style="726" bestFit="1" customWidth="1"/>
    <col min="9220" max="9220" width="15.25" style="726" bestFit="1" customWidth="1"/>
    <col min="9221" max="9221" width="16.375" style="726" bestFit="1" customWidth="1"/>
    <col min="9222" max="9222" width="15.25" style="726" bestFit="1" customWidth="1"/>
    <col min="9223" max="9473" width="9" style="726"/>
    <col min="9474" max="9474" width="39" style="726" customWidth="1"/>
    <col min="9475" max="9475" width="15.875" style="726" bestFit="1" customWidth="1"/>
    <col min="9476" max="9476" width="15.25" style="726" bestFit="1" customWidth="1"/>
    <col min="9477" max="9477" width="16.375" style="726" bestFit="1" customWidth="1"/>
    <col min="9478" max="9478" width="15.25" style="726" bestFit="1" customWidth="1"/>
    <col min="9479" max="9729" width="9" style="726"/>
    <col min="9730" max="9730" width="39" style="726" customWidth="1"/>
    <col min="9731" max="9731" width="15.875" style="726" bestFit="1" customWidth="1"/>
    <col min="9732" max="9732" width="15.25" style="726" bestFit="1" customWidth="1"/>
    <col min="9733" max="9733" width="16.375" style="726" bestFit="1" customWidth="1"/>
    <col min="9734" max="9734" width="15.25" style="726" bestFit="1" customWidth="1"/>
    <col min="9735" max="9985" width="9" style="726"/>
    <col min="9986" max="9986" width="39" style="726" customWidth="1"/>
    <col min="9987" max="9987" width="15.875" style="726" bestFit="1" customWidth="1"/>
    <col min="9988" max="9988" width="15.25" style="726" bestFit="1" customWidth="1"/>
    <col min="9989" max="9989" width="16.375" style="726" bestFit="1" customWidth="1"/>
    <col min="9990" max="9990" width="15.25" style="726" bestFit="1" customWidth="1"/>
    <col min="9991" max="10241" width="9" style="726"/>
    <col min="10242" max="10242" width="39" style="726" customWidth="1"/>
    <col min="10243" max="10243" width="15.875" style="726" bestFit="1" customWidth="1"/>
    <col min="10244" max="10244" width="15.25" style="726" bestFit="1" customWidth="1"/>
    <col min="10245" max="10245" width="16.375" style="726" bestFit="1" customWidth="1"/>
    <col min="10246" max="10246" width="15.25" style="726" bestFit="1" customWidth="1"/>
    <col min="10247" max="10497" width="9" style="726"/>
    <col min="10498" max="10498" width="39" style="726" customWidth="1"/>
    <col min="10499" max="10499" width="15.875" style="726" bestFit="1" customWidth="1"/>
    <col min="10500" max="10500" width="15.25" style="726" bestFit="1" customWidth="1"/>
    <col min="10501" max="10501" width="16.375" style="726" bestFit="1" customWidth="1"/>
    <col min="10502" max="10502" width="15.25" style="726" bestFit="1" customWidth="1"/>
    <col min="10503" max="10753" width="9" style="726"/>
    <col min="10754" max="10754" width="39" style="726" customWidth="1"/>
    <col min="10755" max="10755" width="15.875" style="726" bestFit="1" customWidth="1"/>
    <col min="10756" max="10756" width="15.25" style="726" bestFit="1" customWidth="1"/>
    <col min="10757" max="10757" width="16.375" style="726" bestFit="1" customWidth="1"/>
    <col min="10758" max="10758" width="15.25" style="726" bestFit="1" customWidth="1"/>
    <col min="10759" max="11009" width="9" style="726"/>
    <col min="11010" max="11010" width="39" style="726" customWidth="1"/>
    <col min="11011" max="11011" width="15.875" style="726" bestFit="1" customWidth="1"/>
    <col min="11012" max="11012" width="15.25" style="726" bestFit="1" customWidth="1"/>
    <col min="11013" max="11013" width="16.375" style="726" bestFit="1" customWidth="1"/>
    <col min="11014" max="11014" width="15.25" style="726" bestFit="1" customWidth="1"/>
    <col min="11015" max="11265" width="9" style="726"/>
    <col min="11266" max="11266" width="39" style="726" customWidth="1"/>
    <col min="11267" max="11267" width="15.875" style="726" bestFit="1" customWidth="1"/>
    <col min="11268" max="11268" width="15.25" style="726" bestFit="1" customWidth="1"/>
    <col min="11269" max="11269" width="16.375" style="726" bestFit="1" customWidth="1"/>
    <col min="11270" max="11270" width="15.25" style="726" bestFit="1" customWidth="1"/>
    <col min="11271" max="11521" width="9" style="726"/>
    <col min="11522" max="11522" width="39" style="726" customWidth="1"/>
    <col min="11523" max="11523" width="15.875" style="726" bestFit="1" customWidth="1"/>
    <col min="11524" max="11524" width="15.25" style="726" bestFit="1" customWidth="1"/>
    <col min="11525" max="11525" width="16.375" style="726" bestFit="1" customWidth="1"/>
    <col min="11526" max="11526" width="15.25" style="726" bestFit="1" customWidth="1"/>
    <col min="11527" max="11777" width="9" style="726"/>
    <col min="11778" max="11778" width="39" style="726" customWidth="1"/>
    <col min="11779" max="11779" width="15.875" style="726" bestFit="1" customWidth="1"/>
    <col min="11780" max="11780" width="15.25" style="726" bestFit="1" customWidth="1"/>
    <col min="11781" max="11781" width="16.375" style="726" bestFit="1" customWidth="1"/>
    <col min="11782" max="11782" width="15.25" style="726" bestFit="1" customWidth="1"/>
    <col min="11783" max="12033" width="9" style="726"/>
    <col min="12034" max="12034" width="39" style="726" customWidth="1"/>
    <col min="12035" max="12035" width="15.875" style="726" bestFit="1" customWidth="1"/>
    <col min="12036" max="12036" width="15.25" style="726" bestFit="1" customWidth="1"/>
    <col min="12037" max="12037" width="16.375" style="726" bestFit="1" customWidth="1"/>
    <col min="12038" max="12038" width="15.25" style="726" bestFit="1" customWidth="1"/>
    <col min="12039" max="12289" width="9" style="726"/>
    <col min="12290" max="12290" width="39" style="726" customWidth="1"/>
    <col min="12291" max="12291" width="15.875" style="726" bestFit="1" customWidth="1"/>
    <col min="12292" max="12292" width="15.25" style="726" bestFit="1" customWidth="1"/>
    <col min="12293" max="12293" width="16.375" style="726" bestFit="1" customWidth="1"/>
    <col min="12294" max="12294" width="15.25" style="726" bestFit="1" customWidth="1"/>
    <col min="12295" max="12545" width="9" style="726"/>
    <col min="12546" max="12546" width="39" style="726" customWidth="1"/>
    <col min="12547" max="12547" width="15.875" style="726" bestFit="1" customWidth="1"/>
    <col min="12548" max="12548" width="15.25" style="726" bestFit="1" customWidth="1"/>
    <col min="12549" max="12549" width="16.375" style="726" bestFit="1" customWidth="1"/>
    <col min="12550" max="12550" width="15.25" style="726" bestFit="1" customWidth="1"/>
    <col min="12551" max="12801" width="9" style="726"/>
    <col min="12802" max="12802" width="39" style="726" customWidth="1"/>
    <col min="12803" max="12803" width="15.875" style="726" bestFit="1" customWidth="1"/>
    <col min="12804" max="12804" width="15.25" style="726" bestFit="1" customWidth="1"/>
    <col min="12805" max="12805" width="16.375" style="726" bestFit="1" customWidth="1"/>
    <col min="12806" max="12806" width="15.25" style="726" bestFit="1" customWidth="1"/>
    <col min="12807" max="13057" width="9" style="726"/>
    <col min="13058" max="13058" width="39" style="726" customWidth="1"/>
    <col min="13059" max="13059" width="15.875" style="726" bestFit="1" customWidth="1"/>
    <col min="13060" max="13060" width="15.25" style="726" bestFit="1" customWidth="1"/>
    <col min="13061" max="13061" width="16.375" style="726" bestFit="1" customWidth="1"/>
    <col min="13062" max="13062" width="15.25" style="726" bestFit="1" customWidth="1"/>
    <col min="13063" max="13313" width="9" style="726"/>
    <col min="13314" max="13314" width="39" style="726" customWidth="1"/>
    <col min="13315" max="13315" width="15.875" style="726" bestFit="1" customWidth="1"/>
    <col min="13316" max="13316" width="15.25" style="726" bestFit="1" customWidth="1"/>
    <col min="13317" max="13317" width="16.375" style="726" bestFit="1" customWidth="1"/>
    <col min="13318" max="13318" width="15.25" style="726" bestFit="1" customWidth="1"/>
    <col min="13319" max="13569" width="9" style="726"/>
    <col min="13570" max="13570" width="39" style="726" customWidth="1"/>
    <col min="13571" max="13571" width="15.875" style="726" bestFit="1" customWidth="1"/>
    <col min="13572" max="13572" width="15.25" style="726" bestFit="1" customWidth="1"/>
    <col min="13573" max="13573" width="16.375" style="726" bestFit="1" customWidth="1"/>
    <col min="13574" max="13574" width="15.25" style="726" bestFit="1" customWidth="1"/>
    <col min="13575" max="13825" width="9" style="726"/>
    <col min="13826" max="13826" width="39" style="726" customWidth="1"/>
    <col min="13827" max="13827" width="15.875" style="726" bestFit="1" customWidth="1"/>
    <col min="13828" max="13828" width="15.25" style="726" bestFit="1" customWidth="1"/>
    <col min="13829" max="13829" width="16.375" style="726" bestFit="1" customWidth="1"/>
    <col min="13830" max="13830" width="15.25" style="726" bestFit="1" customWidth="1"/>
    <col min="13831" max="14081" width="9" style="726"/>
    <col min="14082" max="14082" width="39" style="726" customWidth="1"/>
    <col min="14083" max="14083" width="15.875" style="726" bestFit="1" customWidth="1"/>
    <col min="14084" max="14084" width="15.25" style="726" bestFit="1" customWidth="1"/>
    <col min="14085" max="14085" width="16.375" style="726" bestFit="1" customWidth="1"/>
    <col min="14086" max="14086" width="15.25" style="726" bestFit="1" customWidth="1"/>
    <col min="14087" max="14337" width="9" style="726"/>
    <col min="14338" max="14338" width="39" style="726" customWidth="1"/>
    <col min="14339" max="14339" width="15.875" style="726" bestFit="1" customWidth="1"/>
    <col min="14340" max="14340" width="15.25" style="726" bestFit="1" customWidth="1"/>
    <col min="14341" max="14341" width="16.375" style="726" bestFit="1" customWidth="1"/>
    <col min="14342" max="14342" width="15.25" style="726" bestFit="1" customWidth="1"/>
    <col min="14343" max="14593" width="9" style="726"/>
    <col min="14594" max="14594" width="39" style="726" customWidth="1"/>
    <col min="14595" max="14595" width="15.875" style="726" bestFit="1" customWidth="1"/>
    <col min="14596" max="14596" width="15.25" style="726" bestFit="1" customWidth="1"/>
    <col min="14597" max="14597" width="16.375" style="726" bestFit="1" customWidth="1"/>
    <col min="14598" max="14598" width="15.25" style="726" bestFit="1" customWidth="1"/>
    <col min="14599" max="14849" width="9" style="726"/>
    <col min="14850" max="14850" width="39" style="726" customWidth="1"/>
    <col min="14851" max="14851" width="15.875" style="726" bestFit="1" customWidth="1"/>
    <col min="14852" max="14852" width="15.25" style="726" bestFit="1" customWidth="1"/>
    <col min="14853" max="14853" width="16.375" style="726" bestFit="1" customWidth="1"/>
    <col min="14854" max="14854" width="15.25" style="726" bestFit="1" customWidth="1"/>
    <col min="14855" max="15105" width="9" style="726"/>
    <col min="15106" max="15106" width="39" style="726" customWidth="1"/>
    <col min="15107" max="15107" width="15.875" style="726" bestFit="1" customWidth="1"/>
    <col min="15108" max="15108" width="15.25" style="726" bestFit="1" customWidth="1"/>
    <col min="15109" max="15109" width="16.375" style="726" bestFit="1" customWidth="1"/>
    <col min="15110" max="15110" width="15.25" style="726" bestFit="1" customWidth="1"/>
    <col min="15111" max="15361" width="9" style="726"/>
    <col min="15362" max="15362" width="39" style="726" customWidth="1"/>
    <col min="15363" max="15363" width="15.875" style="726" bestFit="1" customWidth="1"/>
    <col min="15364" max="15364" width="15.25" style="726" bestFit="1" customWidth="1"/>
    <col min="15365" max="15365" width="16.375" style="726" bestFit="1" customWidth="1"/>
    <col min="15366" max="15366" width="15.25" style="726" bestFit="1" customWidth="1"/>
    <col min="15367" max="15617" width="9" style="726"/>
    <col min="15618" max="15618" width="39" style="726" customWidth="1"/>
    <col min="15619" max="15619" width="15.875" style="726" bestFit="1" customWidth="1"/>
    <col min="15620" max="15620" width="15.25" style="726" bestFit="1" customWidth="1"/>
    <col min="15621" max="15621" width="16.375" style="726" bestFit="1" customWidth="1"/>
    <col min="15622" max="15622" width="15.25" style="726" bestFit="1" customWidth="1"/>
    <col min="15623" max="15873" width="9" style="726"/>
    <col min="15874" max="15874" width="39" style="726" customWidth="1"/>
    <col min="15875" max="15875" width="15.875" style="726" bestFit="1" customWidth="1"/>
    <col min="15876" max="15876" width="15.25" style="726" bestFit="1" customWidth="1"/>
    <col min="15877" max="15877" width="16.375" style="726" bestFit="1" customWidth="1"/>
    <col min="15878" max="15878" width="15.25" style="726" bestFit="1" customWidth="1"/>
    <col min="15879" max="16129" width="9" style="726"/>
    <col min="16130" max="16130" width="39" style="726" customWidth="1"/>
    <col min="16131" max="16131" width="15.875" style="726" bestFit="1" customWidth="1"/>
    <col min="16132" max="16132" width="15.25" style="726" bestFit="1" customWidth="1"/>
    <col min="16133" max="16133" width="16.375" style="726" bestFit="1" customWidth="1"/>
    <col min="16134" max="16134" width="15.25" style="726" bestFit="1" customWidth="1"/>
    <col min="16135" max="16384" width="9" style="726"/>
  </cols>
  <sheetData>
    <row r="2" spans="2:6">
      <c r="B2" s="724" t="str">
        <f>기본사항!C2</f>
        <v>(재)한국여성재단</v>
      </c>
      <c r="C2" s="725"/>
      <c r="F2" s="725" t="s">
        <v>2744</v>
      </c>
    </row>
    <row r="3" spans="2:6">
      <c r="B3" s="727" t="s">
        <v>2745</v>
      </c>
      <c r="C3" s="1218" t="str">
        <f>기본사항!C3</f>
        <v>제  13  기</v>
      </c>
      <c r="D3" s="1219"/>
      <c r="E3" s="1218" t="str">
        <f>기본사항!C4</f>
        <v>제  12  기</v>
      </c>
      <c r="F3" s="1220"/>
    </row>
    <row r="4" spans="2:6">
      <c r="B4" s="728" t="s">
        <v>2746</v>
      </c>
      <c r="C4" s="729"/>
      <c r="D4" s="730">
        <f>C5+C6+C20+C28</f>
        <v>0</v>
      </c>
      <c r="E4" s="729"/>
      <c r="F4" s="730">
        <f>E5+E6+E20+E28</f>
        <v>0</v>
      </c>
    </row>
    <row r="5" spans="2:6">
      <c r="B5" s="728" t="s">
        <v>2814</v>
      </c>
      <c r="C5" s="729"/>
      <c r="D5" s="730"/>
      <c r="E5" s="729"/>
      <c r="F5" s="730"/>
    </row>
    <row r="6" spans="2:6">
      <c r="B6" s="728" t="s">
        <v>2747</v>
      </c>
      <c r="C6" s="729">
        <f>SUM(C7:C19)</f>
        <v>0</v>
      </c>
      <c r="D6" s="730"/>
      <c r="E6" s="729">
        <f>SUM(E7:E19)</f>
        <v>0</v>
      </c>
      <c r="F6" s="730"/>
    </row>
    <row r="7" spans="2:6">
      <c r="B7" s="731" t="s">
        <v>2748</v>
      </c>
      <c r="C7" s="729"/>
      <c r="D7" s="730"/>
      <c r="E7" s="729"/>
      <c r="F7" s="730"/>
    </row>
    <row r="8" spans="2:6">
      <c r="B8" s="731" t="s">
        <v>2749</v>
      </c>
      <c r="C8" s="729"/>
      <c r="D8" s="730"/>
      <c r="E8" s="729"/>
      <c r="F8" s="730"/>
    </row>
    <row r="9" spans="2:6">
      <c r="B9" s="731" t="s">
        <v>2750</v>
      </c>
      <c r="C9" s="729"/>
      <c r="D9" s="730"/>
      <c r="E9" s="729"/>
      <c r="F9" s="730"/>
    </row>
    <row r="10" spans="2:6">
      <c r="B10" s="731" t="s">
        <v>2751</v>
      </c>
      <c r="C10" s="729"/>
      <c r="D10" s="730"/>
      <c r="E10" s="729"/>
      <c r="F10" s="730"/>
    </row>
    <row r="11" spans="2:6">
      <c r="B11" s="731" t="s">
        <v>2752</v>
      </c>
      <c r="C11" s="729"/>
      <c r="D11" s="730"/>
      <c r="E11" s="729"/>
      <c r="F11" s="730"/>
    </row>
    <row r="12" spans="2:6">
      <c r="B12" s="731" t="s">
        <v>2815</v>
      </c>
      <c r="C12" s="729"/>
      <c r="D12" s="730"/>
      <c r="E12" s="729"/>
      <c r="F12" s="730"/>
    </row>
    <row r="13" spans="2:6">
      <c r="B13" s="731" t="s">
        <v>2816</v>
      </c>
      <c r="C13" s="729"/>
      <c r="D13" s="730"/>
      <c r="E13" s="729"/>
      <c r="F13" s="730"/>
    </row>
    <row r="14" spans="2:6">
      <c r="B14" s="731" t="s">
        <v>2799</v>
      </c>
      <c r="C14" s="729"/>
      <c r="D14" s="730"/>
      <c r="E14" s="729"/>
      <c r="F14" s="730"/>
    </row>
    <row r="15" spans="2:6">
      <c r="B15" s="731" t="s">
        <v>2800</v>
      </c>
      <c r="C15" s="729"/>
      <c r="D15" s="730"/>
      <c r="E15" s="729"/>
      <c r="F15" s="730"/>
    </row>
    <row r="16" spans="2:6">
      <c r="B16" s="731" t="s">
        <v>2801</v>
      </c>
      <c r="C16" s="729"/>
      <c r="D16" s="730"/>
      <c r="E16" s="729"/>
      <c r="F16" s="730"/>
    </row>
    <row r="17" spans="2:6">
      <c r="B17" s="731" t="s">
        <v>2802</v>
      </c>
      <c r="C17" s="729"/>
      <c r="D17" s="730"/>
      <c r="E17" s="729"/>
      <c r="F17" s="730"/>
    </row>
    <row r="18" spans="2:6">
      <c r="B18" s="731" t="s">
        <v>2817</v>
      </c>
      <c r="C18" s="729"/>
      <c r="D18" s="730"/>
      <c r="E18" s="729"/>
      <c r="F18" s="730"/>
    </row>
    <row r="19" spans="2:6">
      <c r="B19" s="731" t="s">
        <v>2803</v>
      </c>
      <c r="C19" s="729"/>
      <c r="D19" s="730"/>
      <c r="E19" s="729"/>
      <c r="F19" s="730"/>
    </row>
    <row r="20" spans="2:6">
      <c r="B20" s="728" t="s">
        <v>2753</v>
      </c>
      <c r="C20" s="729">
        <f>-SUM(C21:C27)</f>
        <v>0</v>
      </c>
      <c r="D20" s="730"/>
      <c r="E20" s="729">
        <f>-SUM(E21:E27)</f>
        <v>0</v>
      </c>
      <c r="F20" s="730"/>
    </row>
    <row r="21" spans="2:6">
      <c r="B21" s="731" t="s">
        <v>2754</v>
      </c>
      <c r="C21" s="729"/>
      <c r="D21" s="730"/>
      <c r="E21" s="729"/>
      <c r="F21" s="730"/>
    </row>
    <row r="22" spans="2:6">
      <c r="B22" s="731" t="s">
        <v>2755</v>
      </c>
      <c r="C22" s="729"/>
      <c r="D22" s="730"/>
      <c r="E22" s="729"/>
      <c r="F22" s="730"/>
    </row>
    <row r="23" spans="2:6">
      <c r="B23" s="731" t="s">
        <v>2804</v>
      </c>
      <c r="C23" s="729"/>
      <c r="D23" s="730"/>
      <c r="E23" s="729"/>
      <c r="F23" s="730"/>
    </row>
    <row r="24" spans="2:6">
      <c r="B24" s="731" t="s">
        <v>2805</v>
      </c>
      <c r="C24" s="729"/>
      <c r="D24" s="730"/>
      <c r="E24" s="729"/>
      <c r="F24" s="730"/>
    </row>
    <row r="25" spans="2:6">
      <c r="B25" s="731" t="s">
        <v>2818</v>
      </c>
      <c r="C25" s="729"/>
      <c r="D25" s="730"/>
      <c r="E25" s="729"/>
      <c r="F25" s="730"/>
    </row>
    <row r="26" spans="2:6">
      <c r="B26" s="731" t="s">
        <v>2819</v>
      </c>
      <c r="C26" s="729"/>
      <c r="D26" s="730"/>
      <c r="E26" s="729"/>
      <c r="F26" s="730"/>
    </row>
    <row r="27" spans="2:6">
      <c r="B27" s="731" t="s">
        <v>2820</v>
      </c>
      <c r="C27" s="729"/>
      <c r="D27" s="730"/>
      <c r="E27" s="729"/>
      <c r="F27" s="730"/>
    </row>
    <row r="28" spans="2:6">
      <c r="B28" s="728" t="s">
        <v>2756</v>
      </c>
      <c r="C28" s="729">
        <f>SUM(C29:C41)</f>
        <v>0</v>
      </c>
      <c r="D28" s="730"/>
      <c r="E28" s="729">
        <f>SUM(E29:E41)</f>
        <v>0</v>
      </c>
      <c r="F28" s="730"/>
    </row>
    <row r="29" spans="2:6">
      <c r="B29" s="731" t="s">
        <v>2757</v>
      </c>
      <c r="C29" s="729"/>
      <c r="D29" s="730"/>
      <c r="E29" s="729"/>
      <c r="F29" s="730"/>
    </row>
    <row r="30" spans="2:6">
      <c r="B30" s="731" t="s">
        <v>2758</v>
      </c>
      <c r="C30" s="729"/>
      <c r="D30" s="730"/>
      <c r="E30" s="729"/>
      <c r="F30" s="730"/>
    </row>
    <row r="31" spans="2:6">
      <c r="B31" s="731" t="s">
        <v>2759</v>
      </c>
      <c r="C31" s="729"/>
      <c r="D31" s="730"/>
      <c r="E31" s="729"/>
      <c r="F31" s="730"/>
    </row>
    <row r="32" spans="2:6">
      <c r="B32" s="731" t="s">
        <v>2760</v>
      </c>
      <c r="C32" s="729"/>
      <c r="D32" s="730"/>
      <c r="E32" s="729"/>
      <c r="F32" s="730"/>
    </row>
    <row r="33" spans="2:6">
      <c r="B33" s="731" t="s">
        <v>2761</v>
      </c>
      <c r="C33" s="729"/>
      <c r="D33" s="730"/>
      <c r="E33" s="729"/>
      <c r="F33" s="730"/>
    </row>
    <row r="34" spans="2:6">
      <c r="B34" s="731" t="s">
        <v>2762</v>
      </c>
      <c r="C34" s="729"/>
      <c r="D34" s="730"/>
      <c r="E34" s="729"/>
      <c r="F34" s="730"/>
    </row>
    <row r="35" spans="2:6">
      <c r="B35" s="731" t="s">
        <v>2763</v>
      </c>
      <c r="C35" s="729"/>
      <c r="D35" s="730"/>
      <c r="E35" s="729"/>
      <c r="F35" s="730"/>
    </row>
    <row r="36" spans="2:6">
      <c r="B36" s="731" t="s">
        <v>2764</v>
      </c>
      <c r="C36" s="729"/>
      <c r="D36" s="730"/>
      <c r="E36" s="729"/>
      <c r="F36" s="730"/>
    </row>
    <row r="37" spans="2:6">
      <c r="B37" s="731" t="s">
        <v>2765</v>
      </c>
      <c r="C37" s="729"/>
      <c r="D37" s="730"/>
      <c r="E37" s="729"/>
      <c r="F37" s="730"/>
    </row>
    <row r="38" spans="2:6">
      <c r="B38" s="731" t="s">
        <v>2766</v>
      </c>
      <c r="C38" s="729"/>
      <c r="D38" s="730"/>
      <c r="E38" s="729"/>
      <c r="F38" s="730"/>
    </row>
    <row r="39" spans="2:6">
      <c r="B39" s="731" t="s">
        <v>2767</v>
      </c>
      <c r="C39" s="729"/>
      <c r="D39" s="730"/>
      <c r="E39" s="729"/>
      <c r="F39" s="730"/>
    </row>
    <row r="40" spans="2:6">
      <c r="B40" s="731" t="s">
        <v>2768</v>
      </c>
      <c r="C40" s="729"/>
      <c r="D40" s="730"/>
      <c r="E40" s="729"/>
      <c r="F40" s="730"/>
    </row>
    <row r="41" spans="2:6">
      <c r="B41" s="731" t="s">
        <v>2769</v>
      </c>
      <c r="C41" s="729"/>
      <c r="D41" s="730"/>
      <c r="E41" s="729"/>
      <c r="F41" s="730"/>
    </row>
    <row r="42" spans="2:6">
      <c r="B42" s="728" t="s">
        <v>2770</v>
      </c>
      <c r="C42" s="729"/>
      <c r="D42" s="730">
        <f>C43+C51</f>
        <v>0</v>
      </c>
      <c r="E42" s="729"/>
      <c r="F42" s="730">
        <f>E43+E51</f>
        <v>0</v>
      </c>
    </row>
    <row r="43" spans="2:6">
      <c r="B43" s="728" t="s">
        <v>2771</v>
      </c>
      <c r="C43" s="729">
        <f>SUM(C44:C50)</f>
        <v>0</v>
      </c>
      <c r="D43" s="730"/>
      <c r="E43" s="729">
        <f>SUM(E44:E50)</f>
        <v>0</v>
      </c>
      <c r="F43" s="730"/>
    </row>
    <row r="44" spans="2:6">
      <c r="B44" s="731" t="s">
        <v>2772</v>
      </c>
      <c r="C44" s="729"/>
      <c r="D44" s="730"/>
      <c r="E44" s="729"/>
      <c r="F44" s="730"/>
    </row>
    <row r="45" spans="2:6">
      <c r="B45" s="731" t="s">
        <v>2773</v>
      </c>
      <c r="C45" s="729"/>
      <c r="D45" s="730"/>
      <c r="E45" s="729"/>
      <c r="F45" s="730"/>
    </row>
    <row r="46" spans="2:6">
      <c r="B46" s="731" t="s">
        <v>2774</v>
      </c>
      <c r="C46" s="729"/>
      <c r="D46" s="730"/>
      <c r="E46" s="729"/>
      <c r="F46" s="730"/>
    </row>
    <row r="47" spans="2:6">
      <c r="B47" s="731" t="s">
        <v>2775</v>
      </c>
      <c r="C47" s="729"/>
      <c r="D47" s="730"/>
      <c r="E47" s="729"/>
      <c r="F47" s="730"/>
    </row>
    <row r="48" spans="2:6">
      <c r="B48" s="731" t="s">
        <v>2806</v>
      </c>
      <c r="C48" s="729"/>
      <c r="D48" s="730"/>
      <c r="E48" s="729"/>
      <c r="F48" s="730"/>
    </row>
    <row r="49" spans="2:6">
      <c r="B49" s="731" t="s">
        <v>2807</v>
      </c>
      <c r="C49" s="729"/>
      <c r="D49" s="730"/>
      <c r="E49" s="729"/>
      <c r="F49" s="730"/>
    </row>
    <row r="50" spans="2:6">
      <c r="B50" s="731" t="s">
        <v>2808</v>
      </c>
      <c r="C50" s="729"/>
      <c r="D50" s="730"/>
      <c r="E50" s="729"/>
      <c r="F50" s="730"/>
    </row>
    <row r="51" spans="2:6">
      <c r="B51" s="728" t="s">
        <v>2776</v>
      </c>
      <c r="C51" s="729">
        <f>-SUM(C52:C64)</f>
        <v>0</v>
      </c>
      <c r="D51" s="730"/>
      <c r="E51" s="729">
        <f>-SUM(E52:E64)</f>
        <v>0</v>
      </c>
      <c r="F51" s="730"/>
    </row>
    <row r="52" spans="2:6">
      <c r="B52" s="731" t="s">
        <v>2777</v>
      </c>
      <c r="C52" s="729"/>
      <c r="D52" s="730"/>
      <c r="E52" s="729"/>
      <c r="F52" s="730"/>
    </row>
    <row r="53" spans="2:6">
      <c r="B53" s="731" t="s">
        <v>2778</v>
      </c>
      <c r="C53" s="729"/>
      <c r="D53" s="730"/>
      <c r="E53" s="729"/>
      <c r="F53" s="730"/>
    </row>
    <row r="54" spans="2:6">
      <c r="B54" s="731" t="s">
        <v>2809</v>
      </c>
      <c r="C54" s="729"/>
      <c r="D54" s="730"/>
      <c r="E54" s="729"/>
      <c r="F54" s="730"/>
    </row>
    <row r="55" spans="2:6">
      <c r="B55" s="731" t="s">
        <v>2810</v>
      </c>
      <c r="C55" s="729"/>
      <c r="D55" s="730"/>
      <c r="E55" s="729"/>
      <c r="F55" s="730"/>
    </row>
    <row r="56" spans="2:6">
      <c r="B56" s="731" t="s">
        <v>2821</v>
      </c>
      <c r="C56" s="729"/>
      <c r="D56" s="730"/>
      <c r="E56" s="729"/>
      <c r="F56" s="730"/>
    </row>
    <row r="57" spans="2:6">
      <c r="B57" s="731" t="s">
        <v>2822</v>
      </c>
      <c r="C57" s="729"/>
      <c r="D57" s="730"/>
      <c r="E57" s="729"/>
      <c r="F57" s="730"/>
    </row>
    <row r="58" spans="2:6">
      <c r="B58" s="731" t="s">
        <v>2823</v>
      </c>
      <c r="C58" s="729"/>
      <c r="D58" s="730"/>
      <c r="E58" s="729"/>
      <c r="F58" s="730"/>
    </row>
    <row r="59" spans="2:6">
      <c r="B59" s="731" t="s">
        <v>2811</v>
      </c>
      <c r="C59" s="729"/>
      <c r="D59" s="730"/>
      <c r="E59" s="729"/>
      <c r="F59" s="730"/>
    </row>
    <row r="60" spans="2:6">
      <c r="B60" s="731" t="s">
        <v>2824</v>
      </c>
      <c r="C60" s="729"/>
      <c r="D60" s="730"/>
      <c r="E60" s="729"/>
      <c r="F60" s="730"/>
    </row>
    <row r="61" spans="2:6">
      <c r="B61" s="731" t="s">
        <v>2825</v>
      </c>
      <c r="C61" s="729"/>
      <c r="D61" s="730"/>
      <c r="E61" s="729"/>
      <c r="F61" s="730"/>
    </row>
    <row r="62" spans="2:6">
      <c r="B62" s="731" t="s">
        <v>2826</v>
      </c>
      <c r="C62" s="729"/>
      <c r="D62" s="730"/>
      <c r="E62" s="729"/>
      <c r="F62" s="730"/>
    </row>
    <row r="63" spans="2:6">
      <c r="B63" s="731" t="s">
        <v>2827</v>
      </c>
      <c r="C63" s="729"/>
      <c r="D63" s="730"/>
      <c r="E63" s="729"/>
      <c r="F63" s="730"/>
    </row>
    <row r="64" spans="2:6">
      <c r="B64" s="731" t="s">
        <v>2828</v>
      </c>
      <c r="C64" s="729"/>
      <c r="D64" s="730"/>
      <c r="E64" s="729"/>
      <c r="F64" s="730"/>
    </row>
    <row r="65" spans="2:6">
      <c r="B65" s="728" t="s">
        <v>2779</v>
      </c>
      <c r="C65" s="729"/>
      <c r="D65" s="730">
        <f>C66+C70</f>
        <v>0</v>
      </c>
      <c r="E65" s="729"/>
      <c r="F65" s="730">
        <f>E66+E70</f>
        <v>0</v>
      </c>
    </row>
    <row r="66" spans="2:6">
      <c r="B66" s="728" t="s">
        <v>2780</v>
      </c>
      <c r="C66" s="729">
        <f>SUM(C67:C69)</f>
        <v>0</v>
      </c>
      <c r="D66" s="730"/>
      <c r="E66" s="729">
        <f>SUM(E67:E69)</f>
        <v>0</v>
      </c>
      <c r="F66" s="730"/>
    </row>
    <row r="67" spans="2:6">
      <c r="B67" s="731" t="s">
        <v>2781</v>
      </c>
      <c r="C67" s="729"/>
      <c r="D67" s="730"/>
      <c r="E67" s="729"/>
      <c r="F67" s="730"/>
    </row>
    <row r="68" spans="2:6">
      <c r="B68" s="731" t="s">
        <v>2782</v>
      </c>
      <c r="C68" s="729"/>
      <c r="D68" s="730"/>
      <c r="E68" s="729"/>
      <c r="F68" s="730"/>
    </row>
    <row r="69" spans="2:6">
      <c r="B69" s="731" t="s">
        <v>2783</v>
      </c>
      <c r="C69" s="729"/>
      <c r="D69" s="730"/>
      <c r="E69" s="729"/>
      <c r="F69" s="730"/>
    </row>
    <row r="70" spans="2:6">
      <c r="B70" s="728" t="s">
        <v>2784</v>
      </c>
      <c r="C70" s="729">
        <f>-SUM(C71:C74)</f>
        <v>0</v>
      </c>
      <c r="D70" s="730"/>
      <c r="E70" s="729">
        <f>-SUM(E71:E74)</f>
        <v>0</v>
      </c>
      <c r="F70" s="730"/>
    </row>
    <row r="71" spans="2:6">
      <c r="B71" s="731" t="s">
        <v>2785</v>
      </c>
      <c r="C71" s="729"/>
      <c r="D71" s="730"/>
      <c r="E71" s="729"/>
      <c r="F71" s="730"/>
    </row>
    <row r="72" spans="2:6">
      <c r="B72" s="731" t="s">
        <v>2812</v>
      </c>
      <c r="C72" s="729"/>
      <c r="D72" s="730"/>
      <c r="E72" s="729"/>
      <c r="F72" s="730"/>
    </row>
    <row r="73" spans="2:6">
      <c r="B73" s="731" t="s">
        <v>2813</v>
      </c>
      <c r="C73" s="729"/>
      <c r="D73" s="730"/>
      <c r="E73" s="729"/>
      <c r="F73" s="730"/>
    </row>
    <row r="74" spans="2:6">
      <c r="B74" s="731" t="s">
        <v>2829</v>
      </c>
      <c r="C74" s="729"/>
      <c r="D74" s="730"/>
      <c r="E74" s="729"/>
      <c r="F74" s="730"/>
    </row>
    <row r="75" spans="2:6">
      <c r="B75" s="728" t="s">
        <v>2786</v>
      </c>
      <c r="C75" s="729"/>
      <c r="D75" s="730">
        <f>D4+D42+D65</f>
        <v>0</v>
      </c>
      <c r="E75" s="729"/>
      <c r="F75" s="730">
        <f>F4+F42+F65</f>
        <v>0</v>
      </c>
    </row>
    <row r="76" spans="2:6">
      <c r="B76" s="728" t="s">
        <v>2787</v>
      </c>
      <c r="C76" s="729"/>
      <c r="D76" s="730">
        <f>F77</f>
        <v>0</v>
      </c>
      <c r="E76" s="729"/>
      <c r="F76" s="730"/>
    </row>
    <row r="77" spans="2:6">
      <c r="B77" s="732" t="s">
        <v>2788</v>
      </c>
      <c r="C77" s="733"/>
      <c r="D77" s="734">
        <f>SUM(D75:D76)</f>
        <v>0</v>
      </c>
      <c r="E77" s="733"/>
      <c r="F77" s="734">
        <f>SUM(F75:F76)</f>
        <v>0</v>
      </c>
    </row>
    <row r="78" spans="2:6">
      <c r="F78" s="735"/>
    </row>
    <row r="79" spans="2:6">
      <c r="D79" s="735">
        <f>D75+D76-D77</f>
        <v>0</v>
      </c>
      <c r="F79" s="735">
        <f>F75+F76-F77</f>
        <v>0</v>
      </c>
    </row>
  </sheetData>
  <mergeCells count="2">
    <mergeCell ref="C3:D3"/>
    <mergeCell ref="E3:F3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87</vt:i4>
      </vt:variant>
      <vt:variant>
        <vt:lpstr>이름이 지정된 범위</vt:lpstr>
      </vt:variant>
      <vt:variant>
        <vt:i4>14</vt:i4>
      </vt:variant>
    </vt:vector>
  </HeadingPairs>
  <TitlesOfParts>
    <vt:vector size="101" baseType="lpstr">
      <vt:lpstr>기본사항</vt:lpstr>
      <vt:lpstr>Material</vt:lpstr>
      <vt:lpstr>연도별환율</vt:lpstr>
      <vt:lpstr>Footnote</vt:lpstr>
      <vt:lpstr>재무제표</vt:lpstr>
      <vt:lpstr>자본변동표</vt:lpstr>
      <vt:lpstr>CF</vt:lpstr>
      <vt:lpstr>CF정산표</vt:lpstr>
      <vt:lpstr>CF 보고서</vt:lpstr>
      <vt:lpstr>PA(R)JE</vt:lpstr>
      <vt:lpstr>FS</vt:lpstr>
      <vt:lpstr>자본변동표 (2)</vt:lpstr>
      <vt:lpstr>명세서첨부1</vt:lpstr>
      <vt:lpstr>명세서첨부2</vt:lpstr>
      <vt:lpstr>Sheet2</vt:lpstr>
      <vt:lpstr>FS_worksheet</vt:lpstr>
      <vt:lpstr>세무조정</vt:lpstr>
      <vt:lpstr>BS(회사)</vt:lpstr>
      <vt:lpstr>IS(회사)</vt:lpstr>
      <vt:lpstr>CO</vt:lpstr>
      <vt:lpstr>TB</vt:lpstr>
      <vt:lpstr>분석적검토</vt:lpstr>
      <vt:lpstr>TableofContents</vt:lpstr>
      <vt:lpstr>Directions-A</vt:lpstr>
      <vt:lpstr>A</vt:lpstr>
      <vt:lpstr>Directions-B</vt:lpstr>
      <vt:lpstr>B</vt:lpstr>
      <vt:lpstr>Directions-C</vt:lpstr>
      <vt:lpstr>C</vt:lpstr>
      <vt:lpstr>Directions-D</vt:lpstr>
      <vt:lpstr>D</vt:lpstr>
      <vt:lpstr>Directions-E</vt:lpstr>
      <vt:lpstr>Directions-E100</vt:lpstr>
      <vt:lpstr>E</vt:lpstr>
      <vt:lpstr>A200</vt:lpstr>
      <vt:lpstr>Directions-F</vt:lpstr>
      <vt:lpstr>F</vt:lpstr>
      <vt:lpstr>A100</vt:lpstr>
      <vt:lpstr>Directions-G</vt:lpstr>
      <vt:lpstr>G</vt:lpstr>
      <vt:lpstr>Directions-H</vt:lpstr>
      <vt:lpstr>H</vt:lpstr>
      <vt:lpstr>G100</vt:lpstr>
      <vt:lpstr>G200</vt:lpstr>
      <vt:lpstr>G300</vt:lpstr>
      <vt:lpstr>Directions-I</vt:lpstr>
      <vt:lpstr>I</vt:lpstr>
      <vt:lpstr>Directions-AA</vt:lpstr>
      <vt:lpstr>AA</vt:lpstr>
      <vt:lpstr>Directions-BB</vt:lpstr>
      <vt:lpstr>BB</vt:lpstr>
      <vt:lpstr>Directions-CC</vt:lpstr>
      <vt:lpstr>CC</vt:lpstr>
      <vt:lpstr>Directions-EE</vt:lpstr>
      <vt:lpstr>EE</vt:lpstr>
      <vt:lpstr>Directions-FF</vt:lpstr>
      <vt:lpstr>FF</vt:lpstr>
      <vt:lpstr>TUL</vt:lpstr>
      <vt:lpstr>Directions-GG</vt:lpstr>
      <vt:lpstr>GG</vt:lpstr>
      <vt:lpstr>Directions-P</vt:lpstr>
      <vt:lpstr>P</vt:lpstr>
      <vt:lpstr>Directions-Q</vt:lpstr>
      <vt:lpstr>Q</vt:lpstr>
      <vt:lpstr>EE100</vt:lpstr>
      <vt:lpstr>EE200</vt:lpstr>
      <vt:lpstr>Directions-R</vt:lpstr>
      <vt:lpstr>R</vt:lpstr>
      <vt:lpstr>R100</vt:lpstr>
      <vt:lpstr>R200</vt:lpstr>
      <vt:lpstr>R300</vt:lpstr>
      <vt:lpstr>Directions-S</vt:lpstr>
      <vt:lpstr>S</vt:lpstr>
      <vt:lpstr>U</vt:lpstr>
      <vt:lpstr>CL</vt:lpstr>
      <vt:lpstr>DER</vt:lpstr>
      <vt:lpstr>Directions-T</vt:lpstr>
      <vt:lpstr>T</vt:lpstr>
      <vt:lpstr>T(세무조정)</vt:lpstr>
      <vt:lpstr>T201</vt:lpstr>
      <vt:lpstr>T202</vt:lpstr>
      <vt:lpstr>T203</vt:lpstr>
      <vt:lpstr>T204</vt:lpstr>
      <vt:lpstr>T205</vt:lpstr>
      <vt:lpstr>Sheet4</vt:lpstr>
      <vt:lpstr>Sheet1</vt:lpstr>
      <vt:lpstr>Sheet1 (2)</vt:lpstr>
      <vt:lpstr>CF정산표!Print_Area</vt:lpstr>
      <vt:lpstr>FS_worksheet!Print_Area</vt:lpstr>
      <vt:lpstr>'PA(R)JE'!Print_Area</vt:lpstr>
      <vt:lpstr>T!Print_Area</vt:lpstr>
      <vt:lpstr>'T(세무조정)'!Print_Area</vt:lpstr>
      <vt:lpstr>'T201'!Print_Area</vt:lpstr>
      <vt:lpstr>'T202'!Print_Area</vt:lpstr>
      <vt:lpstr>'T203'!Print_Area</vt:lpstr>
      <vt:lpstr>'T204'!Print_Area</vt:lpstr>
      <vt:lpstr>'T205'!Print_Area</vt:lpstr>
      <vt:lpstr>자본변동표!Print_Area</vt:lpstr>
      <vt:lpstr>'자본변동표 (2)'!Print_Area</vt:lpstr>
      <vt:lpstr>CF정산표!Print_Titles</vt:lpstr>
      <vt:lpstr>FS_worksheet!Print_Titles</vt:lpstr>
    </vt:vector>
  </TitlesOfParts>
  <Company>Ejung&amp;co.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기말입증감사조서</dc:title>
  <dc:creator>Seo Hong Don</dc:creator>
  <cp:lastModifiedBy>총무팀</cp:lastModifiedBy>
  <cp:lastPrinted>2012-02-16T01:15:06Z</cp:lastPrinted>
  <dcterms:created xsi:type="dcterms:W3CDTF">2008-10-02T04:12:40Z</dcterms:created>
  <dcterms:modified xsi:type="dcterms:W3CDTF">2012-02-16T01:55:16Z</dcterms:modified>
</cp:coreProperties>
</file>